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839bu-fp01\1839-HON\Applications,Worksheets, and Flyers\Commercial PY25\Worksheets\"/>
    </mc:Choice>
  </mc:AlternateContent>
  <xr:revisionPtr revIDLastSave="0" documentId="13_ncr:1_{31775790-3789-4823-9FAB-96572F67BD52}" xr6:coauthVersionLast="47" xr6:coauthVersionMax="47" xr10:uidLastSave="{00000000-0000-0000-0000-000000000000}"/>
  <workbookProtection workbookAlgorithmName="SHA-512" workbookHashValue="QJhB54iQjFNRPLeG5ZPYSC37jdJL00XbOu+XU6Nj0Oalcg+jtHuUJy3ggemrr1fHLOg+4FxB0TH+SN1Ir4o91Q==" workbookSaltValue="esssqSScX4lRJ6Bxupw1Og==" workbookSpinCount="100000" lockStructure="1"/>
  <bookViews>
    <workbookView xWindow="28680" yWindow="-120" windowWidth="29040" windowHeight="15720" xr2:uid="{00000000-000D-0000-FFFF-FFFF00000000}"/>
  </bookViews>
  <sheets>
    <sheet name="Summary" sheetId="9" r:id="rId1"/>
    <sheet name="Chiller" sheetId="1" r:id="rId2"/>
    <sheet name="AC_HP" sheetId="6" r:id="rId3"/>
    <sheet name="IVRF" sheetId="3" r:id="rId4"/>
    <sheet name="GuestRoomEMS" sheetId="8" r:id="rId5"/>
    <sheet name="VFD" sheetId="7" r:id="rId6"/>
    <sheet name="AC_HP_Savings" sheetId="5" state="hidden" r:id="rId7"/>
    <sheet name="AC_HP_EFLH_CF" sheetId="4" state="hidden" r:id="rId8"/>
  </sheets>
  <definedNames>
    <definedName name="IntEff">#REF!</definedName>
    <definedName name="IntEff2">#REF!</definedName>
    <definedName name="LgtOpHrs">#REF!</definedName>
    <definedName name="LgtOpHrs2">#REF!</definedName>
    <definedName name="_xlnm.Print_Area" localSheetId="1">Chiller!$A$1:$N$42</definedName>
    <definedName name="_xlnm.Print_Area" localSheetId="4">GuestRoomEMS!$B$1:$F$18</definedName>
    <definedName name="_xlnm.Print_Area" localSheetId="3">IVRF!$B$1:$T$51</definedName>
    <definedName name="_xlnm.Print_Area" localSheetId="0">Summary!$A$1:$H$18</definedName>
    <definedName name="_xlnm.Print_Area" localSheetId="5">VFD!$A$1:$L$35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13" i="1"/>
  <c r="U17" i="1"/>
  <c r="U18" i="1"/>
  <c r="U19" i="1"/>
  <c r="U13" i="1"/>
  <c r="T17" i="1"/>
  <c r="T18" i="1"/>
  <c r="T19" i="1"/>
  <c r="T13" i="1"/>
  <c r="S17" i="1"/>
  <c r="S18" i="1"/>
  <c r="S19" i="1"/>
  <c r="S13" i="1"/>
  <c r="R17" i="1"/>
  <c r="R18" i="1"/>
  <c r="R19" i="1"/>
  <c r="R13" i="1"/>
  <c r="E8" i="8"/>
  <c r="E11" i="8" s="1"/>
  <c r="E12" i="9" l="1"/>
  <c r="J12" i="7"/>
  <c r="K12" i="7" s="1"/>
  <c r="J7" i="7"/>
  <c r="K7" i="7" s="1"/>
  <c r="J8" i="7"/>
  <c r="K8" i="7" s="1"/>
  <c r="J9" i="7"/>
  <c r="K9" i="7" s="1"/>
  <c r="J10" i="7"/>
  <c r="K10" i="7" s="1"/>
  <c r="J11" i="7"/>
  <c r="K11" i="7" s="1"/>
  <c r="J13" i="7"/>
  <c r="K13" i="7" s="1"/>
  <c r="J14" i="7"/>
  <c r="K14" i="7" s="1"/>
  <c r="J15" i="7"/>
  <c r="K15" i="7" s="1"/>
  <c r="J6" i="7"/>
  <c r="K6" i="7" s="1"/>
  <c r="K16" i="7" l="1"/>
  <c r="E13" i="9" s="1"/>
  <c r="E80" i="6"/>
  <c r="G79" i="6" s="1"/>
  <c r="E79" i="6"/>
  <c r="G78" i="6" s="1"/>
  <c r="E78" i="6"/>
  <c r="G77" i="6" s="1"/>
  <c r="E77" i="6"/>
  <c r="E72" i="6"/>
  <c r="G71" i="6"/>
  <c r="E71" i="6"/>
  <c r="G70" i="6"/>
  <c r="E70" i="6"/>
  <c r="E65" i="6"/>
  <c r="G64" i="6"/>
  <c r="E64" i="6"/>
  <c r="G63" i="6"/>
  <c r="E63" i="6"/>
  <c r="E57" i="6"/>
  <c r="G55" i="6"/>
  <c r="E55" i="6"/>
  <c r="G53" i="6"/>
  <c r="E53" i="6"/>
  <c r="G88" i="6"/>
  <c r="E88" i="6"/>
  <c r="G87" i="6"/>
  <c r="E87" i="6"/>
  <c r="G86" i="6"/>
  <c r="E86" i="6"/>
  <c r="E49" i="6"/>
  <c r="G48" i="6"/>
  <c r="E48" i="6"/>
  <c r="G47" i="6"/>
  <c r="E47" i="6"/>
  <c r="BS22" i="6"/>
  <c r="BV22" i="6" s="1"/>
  <c r="BM22" i="6"/>
  <c r="BG22" i="6"/>
  <c r="BJ22" i="6" s="1"/>
  <c r="BA22" i="6"/>
  <c r="BD22" i="6" s="1"/>
  <c r="AS22" i="6"/>
  <c r="L22" i="6"/>
  <c r="BS21" i="6"/>
  <c r="BV21" i="6" s="1"/>
  <c r="BM21" i="6"/>
  <c r="BO21" i="6" s="1"/>
  <c r="BG21" i="6"/>
  <c r="BJ21" i="6" s="1"/>
  <c r="BA21" i="6"/>
  <c r="BC21" i="6" s="1"/>
  <c r="AS21" i="6"/>
  <c r="L21" i="6"/>
  <c r="AU21" i="6" s="1"/>
  <c r="AX21" i="6" s="1"/>
  <c r="BS20" i="6"/>
  <c r="BV20" i="6" s="1"/>
  <c r="BM20" i="6"/>
  <c r="BP20" i="6" s="1"/>
  <c r="BG20" i="6"/>
  <c r="BA20" i="6"/>
  <c r="BB20" i="6" s="1"/>
  <c r="AS20" i="6"/>
  <c r="L20" i="6"/>
  <c r="BS19" i="6"/>
  <c r="BT19" i="6" s="1"/>
  <c r="BM19" i="6"/>
  <c r="BP19" i="6" s="1"/>
  <c r="BG19" i="6"/>
  <c r="BJ19" i="6" s="1"/>
  <c r="BA19" i="6"/>
  <c r="BD19" i="6" s="1"/>
  <c r="AS19" i="6"/>
  <c r="L19" i="6"/>
  <c r="BS18" i="6"/>
  <c r="BU18" i="6" s="1"/>
  <c r="BM18" i="6"/>
  <c r="BP18" i="6" s="1"/>
  <c r="BG18" i="6"/>
  <c r="BJ18" i="6" s="1"/>
  <c r="BA18" i="6"/>
  <c r="BB18" i="6" s="1"/>
  <c r="AS18" i="6"/>
  <c r="L18" i="6"/>
  <c r="AU18" i="6" s="1"/>
  <c r="AV18" i="6" s="1"/>
  <c r="BS17" i="6"/>
  <c r="BV17" i="6" s="1"/>
  <c r="BM17" i="6"/>
  <c r="BN17" i="6" s="1"/>
  <c r="BG17" i="6"/>
  <c r="BJ17" i="6" s="1"/>
  <c r="BA17" i="6"/>
  <c r="BD17" i="6" s="1"/>
  <c r="AS17" i="6"/>
  <c r="L17" i="6"/>
  <c r="BS16" i="6"/>
  <c r="BM16" i="6"/>
  <c r="BN16" i="6" s="1"/>
  <c r="BG16" i="6"/>
  <c r="BJ16" i="6" s="1"/>
  <c r="BA16" i="6"/>
  <c r="BD16" i="6" s="1"/>
  <c r="AS16" i="6"/>
  <c r="L16" i="6"/>
  <c r="BS15" i="6"/>
  <c r="BV15" i="6" s="1"/>
  <c r="BM15" i="6"/>
  <c r="BP15" i="6" s="1"/>
  <c r="BG15" i="6"/>
  <c r="BJ15" i="6" s="1"/>
  <c r="BA15" i="6"/>
  <c r="AS15" i="6"/>
  <c r="L15" i="6"/>
  <c r="AU15" i="6" s="1"/>
  <c r="BS14" i="6"/>
  <c r="BV14" i="6" s="1"/>
  <c r="BM14" i="6"/>
  <c r="BP14" i="6" s="1"/>
  <c r="BG14" i="6"/>
  <c r="BJ14" i="6" s="1"/>
  <c r="BA14" i="6"/>
  <c r="BD14" i="6" s="1"/>
  <c r="AS14" i="6"/>
  <c r="L14" i="6"/>
  <c r="BS13" i="6"/>
  <c r="BV13" i="6" s="1"/>
  <c r="BM13" i="6"/>
  <c r="BP13" i="6" s="1"/>
  <c r="BG13" i="6"/>
  <c r="BH13" i="6" s="1"/>
  <c r="BA13" i="6"/>
  <c r="BB13" i="6" s="1"/>
  <c r="L13" i="6"/>
  <c r="AU13" i="6" s="1"/>
  <c r="AV13" i="6" s="1"/>
  <c r="U42" i="5"/>
  <c r="U44" i="5" s="1"/>
  <c r="U36" i="5"/>
  <c r="U38" i="5" s="1"/>
  <c r="O36" i="5"/>
  <c r="H33" i="5"/>
  <c r="G33" i="5"/>
  <c r="F33" i="5"/>
  <c r="E33" i="5"/>
  <c r="U32" i="5"/>
  <c r="H32" i="5"/>
  <c r="G32" i="5"/>
  <c r="F32" i="5"/>
  <c r="E32" i="5"/>
  <c r="H31" i="5"/>
  <c r="G31" i="5"/>
  <c r="F31" i="5"/>
  <c r="E31" i="5"/>
  <c r="U30" i="5"/>
  <c r="U31" i="5" s="1"/>
  <c r="P30" i="5"/>
  <c r="O30" i="5"/>
  <c r="U18" i="5"/>
  <c r="U21" i="5" s="1"/>
  <c r="U22" i="5" s="1"/>
  <c r="F9" i="5"/>
  <c r="O6" i="5"/>
  <c r="O5" i="5" s="1"/>
  <c r="N6" i="5"/>
  <c r="N5" i="5"/>
  <c r="N7" i="5" s="1"/>
  <c r="AA21" i="6" l="1"/>
  <c r="AB21" i="6" s="1"/>
  <c r="AM14" i="6"/>
  <c r="AN14" i="6" s="1"/>
  <c r="AO14" i="6" s="1"/>
  <c r="AM16" i="6"/>
  <c r="AN16" i="6" s="1"/>
  <c r="AO16" i="6" s="1"/>
  <c r="AM20" i="6"/>
  <c r="AN20" i="6" s="1"/>
  <c r="AO20" i="6" s="1"/>
  <c r="BI19" i="6"/>
  <c r="BI21" i="6"/>
  <c r="R13" i="6"/>
  <c r="T13" i="6" s="1"/>
  <c r="AM21" i="6"/>
  <c r="AN21" i="6" s="1"/>
  <c r="AO21" i="6" s="1"/>
  <c r="BP21" i="6"/>
  <c r="AI22" i="6"/>
  <c r="AJ22" i="6" s="1"/>
  <c r="AK22" i="6" s="1"/>
  <c r="BO19" i="6"/>
  <c r="BD20" i="6"/>
  <c r="BE20" i="6" s="1"/>
  <c r="BN21" i="6"/>
  <c r="AI17" i="6"/>
  <c r="AJ17" i="6" s="1"/>
  <c r="AK17" i="6" s="1"/>
  <c r="BN19" i="6"/>
  <c r="BN13" i="6"/>
  <c r="AI14" i="6"/>
  <c r="AJ14" i="6" s="1"/>
  <c r="AK14" i="6" s="1"/>
  <c r="BH21" i="6"/>
  <c r="BK21" i="6" s="1"/>
  <c r="AI15" i="6"/>
  <c r="AJ15" i="6" s="1"/>
  <c r="AK15" i="6" s="1"/>
  <c r="BO13" i="6"/>
  <c r="BQ13" i="6" s="1"/>
  <c r="BH14" i="6"/>
  <c r="BI14" i="6"/>
  <c r="BI16" i="6"/>
  <c r="AA18" i="6"/>
  <c r="AB18" i="6" s="1"/>
  <c r="BC20" i="6"/>
  <c r="O16" i="6"/>
  <c r="P16" i="6"/>
  <c r="BT21" i="6"/>
  <c r="AQ16" i="6" a="1"/>
  <c r="AQ16" i="6" s="1"/>
  <c r="AR16" i="6" s="1"/>
  <c r="BO16" i="6"/>
  <c r="R18" i="6"/>
  <c r="U18" i="6" s="1"/>
  <c r="AA15" i="6"/>
  <c r="AB15" i="6" s="1"/>
  <c r="R21" i="6"/>
  <c r="V21" i="6" s="1"/>
  <c r="R16" i="6"/>
  <c r="X16" i="6" s="1"/>
  <c r="Y16" i="6" s="1"/>
  <c r="BB14" i="6"/>
  <c r="BT17" i="6"/>
  <c r="BU21" i="6"/>
  <c r="BC14" i="6"/>
  <c r="AI20" i="6"/>
  <c r="AJ20" i="6" s="1"/>
  <c r="AK20" i="6" s="1"/>
  <c r="AM15" i="6"/>
  <c r="AN15" i="6" s="1"/>
  <c r="AO15" i="6" s="1"/>
  <c r="BV18" i="6"/>
  <c r="AA20" i="6"/>
  <c r="AB20" i="6" s="1"/>
  <c r="AM22" i="6"/>
  <c r="AN22" i="6" s="1"/>
  <c r="AO22" i="6" s="1"/>
  <c r="O19" i="6"/>
  <c r="AM17" i="6"/>
  <c r="AN17" i="6" s="1"/>
  <c r="AO17" i="6" s="1"/>
  <c r="BB17" i="6"/>
  <c r="BP16" i="6"/>
  <c r="BC17" i="6"/>
  <c r="AU16" i="6"/>
  <c r="AV16" i="6" s="1"/>
  <c r="BU15" i="6"/>
  <c r="BH17" i="6"/>
  <c r="AX18" i="6"/>
  <c r="AD15" i="6"/>
  <c r="AD18" i="6"/>
  <c r="AD13" i="6"/>
  <c r="AD21" i="6"/>
  <c r="BT13" i="6"/>
  <c r="BU13" i="6"/>
  <c r="BD15" i="6"/>
  <c r="BC15" i="6"/>
  <c r="BB15" i="6"/>
  <c r="AD17" i="6"/>
  <c r="AV21" i="6"/>
  <c r="W13" i="6"/>
  <c r="U13" i="6"/>
  <c r="AD20" i="6"/>
  <c r="AD14" i="6"/>
  <c r="BO22" i="6"/>
  <c r="BP22" i="6"/>
  <c r="AQ13" i="6" a="1"/>
  <c r="AQ13" i="6" s="1"/>
  <c r="AR13" i="6" s="1"/>
  <c r="AS13" i="6" s="1"/>
  <c r="AM19" i="6"/>
  <c r="AN19" i="6" s="1"/>
  <c r="AO19" i="6" s="1"/>
  <c r="AI19" i="6"/>
  <c r="AJ19" i="6" s="1"/>
  <c r="AK19" i="6" s="1"/>
  <c r="AA19" i="6"/>
  <c r="AB19" i="6" s="1"/>
  <c r="R19" i="6"/>
  <c r="P19" i="6"/>
  <c r="AD19" i="6"/>
  <c r="AU19" i="6"/>
  <c r="AW21" i="6"/>
  <c r="BH20" i="6"/>
  <c r="BI20" i="6"/>
  <c r="BJ20" i="6"/>
  <c r="AX15" i="6"/>
  <c r="AW15" i="6"/>
  <c r="AV15" i="6"/>
  <c r="AQ19" i="6" a="1"/>
  <c r="AQ19" i="6" s="1"/>
  <c r="AR19" i="6" s="1"/>
  <c r="AW18" i="6"/>
  <c r="AQ21" i="6" a="1"/>
  <c r="AQ21" i="6" s="1"/>
  <c r="AR21" i="6" s="1"/>
  <c r="AQ18" i="6" a="1"/>
  <c r="AQ18" i="6" s="1"/>
  <c r="AR18" i="6" s="1"/>
  <c r="BI17" i="6"/>
  <c r="BT16" i="6"/>
  <c r="BU16" i="6"/>
  <c r="BV16" i="6"/>
  <c r="BN22" i="6"/>
  <c r="AX13" i="6"/>
  <c r="AY13" i="6" s="1"/>
  <c r="AW13" i="6"/>
  <c r="AQ14" i="6" a="1"/>
  <c r="AQ14" i="6" s="1"/>
  <c r="AR14" i="6" s="1"/>
  <c r="BN20" i="6"/>
  <c r="BU22" i="6"/>
  <c r="BO20" i="6"/>
  <c r="BD13" i="6"/>
  <c r="AU14" i="6"/>
  <c r="BU14" i="6"/>
  <c r="AA16" i="6"/>
  <c r="AB16" i="6" s="1"/>
  <c r="BB16" i="6"/>
  <c r="R17" i="6"/>
  <c r="AI18" i="6"/>
  <c r="AJ18" i="6" s="1"/>
  <c r="AK18" i="6" s="1"/>
  <c r="BI18" i="6"/>
  <c r="O20" i="6"/>
  <c r="AQ20" i="6" a="1"/>
  <c r="AQ20" i="6" s="1"/>
  <c r="AR20" i="6" s="1"/>
  <c r="O14" i="6"/>
  <c r="P14" i="6"/>
  <c r="AA13" i="6"/>
  <c r="AB13" i="6" s="1"/>
  <c r="BI15" i="6"/>
  <c r="BP17" i="6"/>
  <c r="BH18" i="6"/>
  <c r="BN15" i="6"/>
  <c r="BU17" i="6"/>
  <c r="BB19" i="6"/>
  <c r="AI21" i="6"/>
  <c r="AJ21" i="6" s="1"/>
  <c r="AK21" i="6" s="1"/>
  <c r="BO15" i="6"/>
  <c r="AM18" i="6"/>
  <c r="AN18" i="6" s="1"/>
  <c r="AO18" i="6" s="1"/>
  <c r="BC19" i="6"/>
  <c r="BT20" i="6"/>
  <c r="AI13" i="6"/>
  <c r="AJ13" i="6" s="1"/>
  <c r="AK13" i="6" s="1"/>
  <c r="BI13" i="6"/>
  <c r="O15" i="6"/>
  <c r="AQ15" i="6" a="1"/>
  <c r="AQ15" i="6" s="1"/>
  <c r="AR15" i="6" s="1"/>
  <c r="BN18" i="6"/>
  <c r="AU20" i="6"/>
  <c r="BU20" i="6"/>
  <c r="AA22" i="6"/>
  <c r="AB22" i="6" s="1"/>
  <c r="BB22" i="6"/>
  <c r="BJ13" i="6"/>
  <c r="P15" i="6"/>
  <c r="BH16" i="6"/>
  <c r="BO18" i="6"/>
  <c r="BC22" i="6"/>
  <c r="AD22" i="6"/>
  <c r="BN14" i="6"/>
  <c r="BO14" i="6"/>
  <c r="BU19" i="6"/>
  <c r="BB21" i="6"/>
  <c r="BH15" i="6"/>
  <c r="BO17" i="6"/>
  <c r="BV19" i="6"/>
  <c r="BT22" i="6"/>
  <c r="O17" i="6"/>
  <c r="AU22" i="6"/>
  <c r="BC13" i="6"/>
  <c r="BT14" i="6"/>
  <c r="P17" i="6"/>
  <c r="AD16" i="6"/>
  <c r="R20" i="6"/>
  <c r="AA14" i="6"/>
  <c r="AB14" i="6" s="1"/>
  <c r="R15" i="6"/>
  <c r="AI16" i="6"/>
  <c r="AJ16" i="6" s="1"/>
  <c r="AK16" i="6" s="1"/>
  <c r="O18" i="6"/>
  <c r="AM13" i="6"/>
  <c r="AN13" i="6" s="1"/>
  <c r="AO13" i="6" s="1"/>
  <c r="BT15" i="6"/>
  <c r="P18" i="6"/>
  <c r="BH19" i="6"/>
  <c r="O22" i="6"/>
  <c r="BC18" i="6"/>
  <c r="R22" i="6"/>
  <c r="P22" i="6"/>
  <c r="BD18" i="6"/>
  <c r="BD21" i="6"/>
  <c r="BC16" i="6"/>
  <c r="P20" i="6"/>
  <c r="O21" i="6"/>
  <c r="BT18" i="6"/>
  <c r="P21" i="6"/>
  <c r="BH22" i="6"/>
  <c r="AQ22" i="6" a="1"/>
  <c r="AQ22" i="6" s="1"/>
  <c r="AR22" i="6" s="1"/>
  <c r="R14" i="6"/>
  <c r="AQ17" i="6" a="1"/>
  <c r="AQ17" i="6" s="1"/>
  <c r="AR17" i="6" s="1"/>
  <c r="AU17" i="6"/>
  <c r="AA17" i="6"/>
  <c r="AB17" i="6" s="1"/>
  <c r="O13" i="6"/>
  <c r="BI22" i="6"/>
  <c r="H5" i="5"/>
  <c r="H11" i="5"/>
  <c r="H8" i="5"/>
  <c r="N10" i="5"/>
  <c r="N11" i="5"/>
  <c r="U20" i="5"/>
  <c r="V21" i="5"/>
  <c r="V22" i="5" s="1"/>
  <c r="U19" i="5"/>
  <c r="V19" i="5"/>
  <c r="V20" i="5"/>
  <c r="U37" i="5"/>
  <c r="U23" i="5"/>
  <c r="V23" i="5"/>
  <c r="U43" i="5"/>
  <c r="BK19" i="6" l="1"/>
  <c r="BQ21" i="6"/>
  <c r="BE22" i="6"/>
  <c r="BK14" i="6"/>
  <c r="AX16" i="6"/>
  <c r="X21" i="6"/>
  <c r="Y21" i="6" s="1"/>
  <c r="BK18" i="6"/>
  <c r="BK22" i="6"/>
  <c r="BQ18" i="6"/>
  <c r="S13" i="6"/>
  <c r="BW13" i="6"/>
  <c r="BW21" i="6"/>
  <c r="BW15" i="6"/>
  <c r="V13" i="6"/>
  <c r="S21" i="6"/>
  <c r="S18" i="6"/>
  <c r="BQ14" i="6"/>
  <c r="BQ19" i="6"/>
  <c r="BE16" i="6"/>
  <c r="BK13" i="6"/>
  <c r="T18" i="6"/>
  <c r="W21" i="6"/>
  <c r="AY21" i="6"/>
  <c r="BW20" i="6"/>
  <c r="BQ17" i="6"/>
  <c r="BE17" i="6"/>
  <c r="BE19" i="6"/>
  <c r="BW18" i="6"/>
  <c r="BK16" i="6"/>
  <c r="BQ22" i="6"/>
  <c r="BK20" i="6"/>
  <c r="BE14" i="6"/>
  <c r="BQ15" i="6"/>
  <c r="BW22" i="6"/>
  <c r="X13" i="6"/>
  <c r="U16" i="6"/>
  <c r="BQ20" i="6"/>
  <c r="W18" i="6"/>
  <c r="V18" i="6"/>
  <c r="X18" i="6"/>
  <c r="Y18" i="6" s="1"/>
  <c r="W16" i="6"/>
  <c r="V16" i="6"/>
  <c r="BQ16" i="6"/>
  <c r="T16" i="6"/>
  <c r="BW17" i="6"/>
  <c r="U21" i="6"/>
  <c r="T21" i="6"/>
  <c r="BK15" i="6"/>
  <c r="BE21" i="6"/>
  <c r="BW19" i="6"/>
  <c r="BK17" i="6"/>
  <c r="S16" i="6"/>
  <c r="AW16" i="6"/>
  <c r="BE18" i="6"/>
  <c r="BW14" i="6"/>
  <c r="W15" i="6"/>
  <c r="V15" i="6"/>
  <c r="T15" i="6"/>
  <c r="U15" i="6"/>
  <c r="S15" i="6"/>
  <c r="X15" i="6"/>
  <c r="Y15" i="6" s="1"/>
  <c r="X20" i="6"/>
  <c r="Y20" i="6" s="1"/>
  <c r="W20" i="6"/>
  <c r="S20" i="6"/>
  <c r="V20" i="6"/>
  <c r="U20" i="6"/>
  <c r="T20" i="6"/>
  <c r="AF13" i="6"/>
  <c r="AE13" i="6"/>
  <c r="S17" i="6"/>
  <c r="X17" i="6"/>
  <c r="Y17" i="6" s="1"/>
  <c r="U17" i="6"/>
  <c r="W17" i="6"/>
  <c r="V17" i="6"/>
  <c r="T17" i="6"/>
  <c r="BW16" i="6"/>
  <c r="AF18" i="6"/>
  <c r="AE18" i="6"/>
  <c r="AG18" i="6" s="1"/>
  <c r="BE15" i="6"/>
  <c r="AV22" i="6"/>
  <c r="AX22" i="6"/>
  <c r="AW22" i="6"/>
  <c r="AF20" i="6"/>
  <c r="AE20" i="6"/>
  <c r="AG20" i="6" s="1"/>
  <c r="AE15" i="6"/>
  <c r="AG15" i="6" s="1"/>
  <c r="AF15" i="6"/>
  <c r="AE17" i="6"/>
  <c r="AG17" i="6" s="1"/>
  <c r="AF17" i="6"/>
  <c r="P23" i="6"/>
  <c r="E10" i="9" s="1"/>
  <c r="AE16" i="6"/>
  <c r="AG16" i="6" s="1"/>
  <c r="AF16" i="6"/>
  <c r="AE21" i="6"/>
  <c r="AG21" i="6" s="1"/>
  <c r="AF21" i="6"/>
  <c r="AF22" i="6"/>
  <c r="AE22" i="6"/>
  <c r="AG22" i="6" s="1"/>
  <c r="AX17" i="6"/>
  <c r="AW17" i="6"/>
  <c r="AV17" i="6"/>
  <c r="V14" i="6"/>
  <c r="U14" i="6"/>
  <c r="S14" i="6"/>
  <c r="W14" i="6"/>
  <c r="X14" i="6"/>
  <c r="Y14" i="6" s="1"/>
  <c r="T14" i="6"/>
  <c r="AV14" i="6"/>
  <c r="AX14" i="6"/>
  <c r="AW14" i="6"/>
  <c r="AX19" i="6"/>
  <c r="AV19" i="6"/>
  <c r="AW19" i="6"/>
  <c r="AY18" i="6"/>
  <c r="AY15" i="6"/>
  <c r="AX20" i="6"/>
  <c r="AW20" i="6"/>
  <c r="AV20" i="6"/>
  <c r="AF14" i="6"/>
  <c r="AE14" i="6"/>
  <c r="AG14" i="6" s="1"/>
  <c r="X22" i="6"/>
  <c r="Y22" i="6" s="1"/>
  <c r="W22" i="6"/>
  <c r="S22" i="6"/>
  <c r="U22" i="6"/>
  <c r="T22" i="6"/>
  <c r="V22" i="6"/>
  <c r="BE13" i="6"/>
  <c r="AF19" i="6"/>
  <c r="AE19" i="6"/>
  <c r="AG19" i="6" s="1"/>
  <c r="W19" i="6"/>
  <c r="T19" i="6"/>
  <c r="V19" i="6"/>
  <c r="U19" i="6"/>
  <c r="S19" i="6"/>
  <c r="X19" i="6"/>
  <c r="Y19" i="6" s="1"/>
  <c r="H9" i="5"/>
  <c r="H6" i="5"/>
  <c r="H12" i="5"/>
  <c r="AY16" i="6" l="1"/>
  <c r="Y13" i="6"/>
  <c r="P13" i="6" s="1"/>
  <c r="AG13" i="6"/>
  <c r="AY20" i="6"/>
  <c r="AY17" i="6"/>
  <c r="AY14" i="6"/>
  <c r="AY22" i="6"/>
  <c r="AY19" i="6"/>
  <c r="I50" i="3" l="1"/>
  <c r="G50" i="3"/>
  <c r="I49" i="3" s="1"/>
  <c r="G49" i="3"/>
  <c r="I48" i="3"/>
  <c r="G48" i="3"/>
  <c r="I47" i="3" s="1"/>
  <c r="G47" i="3"/>
  <c r="I46" i="3" s="1"/>
  <c r="G46" i="3"/>
  <c r="G45" i="3"/>
  <c r="I44" i="3"/>
  <c r="G44" i="3"/>
  <c r="I43" i="3" s="1"/>
  <c r="G43" i="3"/>
  <c r="I42" i="3" s="1"/>
  <c r="G42" i="3"/>
  <c r="G41" i="3"/>
  <c r="I40" i="3"/>
  <c r="G40" i="3"/>
  <c r="I39" i="3" s="1"/>
  <c r="G39" i="3"/>
  <c r="I38" i="3" s="1"/>
  <c r="G38" i="3"/>
  <c r="G37" i="3"/>
  <c r="Z21" i="3"/>
  <c r="Y21" i="3"/>
  <c r="X21" i="3"/>
  <c r="W21" i="3"/>
  <c r="V21" i="3"/>
  <c r="T21" i="3"/>
  <c r="S21" i="3"/>
  <c r="R21" i="3"/>
  <c r="O21" i="3"/>
  <c r="M21" i="3"/>
  <c r="Z20" i="3"/>
  <c r="Y20" i="3"/>
  <c r="X20" i="3"/>
  <c r="W20" i="3"/>
  <c r="V20" i="3"/>
  <c r="T20" i="3"/>
  <c r="S20" i="3"/>
  <c r="R20" i="3"/>
  <c r="O20" i="3"/>
  <c r="M20" i="3"/>
  <c r="Z19" i="3"/>
  <c r="Y19" i="3"/>
  <c r="X19" i="3"/>
  <c r="W19" i="3"/>
  <c r="V19" i="3"/>
  <c r="T19" i="3"/>
  <c r="S19" i="3"/>
  <c r="R19" i="3"/>
  <c r="O19" i="3"/>
  <c r="M19" i="3"/>
  <c r="Z18" i="3"/>
  <c r="Y18" i="3"/>
  <c r="X18" i="3"/>
  <c r="W18" i="3"/>
  <c r="V18" i="3"/>
  <c r="T18" i="3"/>
  <c r="S18" i="3"/>
  <c r="R18" i="3"/>
  <c r="O18" i="3"/>
  <c r="M18" i="3"/>
  <c r="Z17" i="3"/>
  <c r="Y17" i="3"/>
  <c r="X17" i="3"/>
  <c r="W17" i="3"/>
  <c r="V17" i="3"/>
  <c r="T17" i="3"/>
  <c r="S17" i="3"/>
  <c r="R17" i="3"/>
  <c r="O17" i="3"/>
  <c r="M17" i="3"/>
  <c r="Z16" i="3"/>
  <c r="Y16" i="3"/>
  <c r="X16" i="3"/>
  <c r="W16" i="3"/>
  <c r="V16" i="3"/>
  <c r="T16" i="3"/>
  <c r="S16" i="3"/>
  <c r="R16" i="3"/>
  <c r="O16" i="3"/>
  <c r="M16" i="3"/>
  <c r="Z15" i="3"/>
  <c r="Y15" i="3"/>
  <c r="X15" i="3"/>
  <c r="W15" i="3"/>
  <c r="V15" i="3"/>
  <c r="T15" i="3"/>
  <c r="S15" i="3"/>
  <c r="R15" i="3"/>
  <c r="O15" i="3"/>
  <c r="M15" i="3"/>
  <c r="Z14" i="3"/>
  <c r="Y14" i="3"/>
  <c r="X14" i="3"/>
  <c r="W14" i="3"/>
  <c r="V14" i="3"/>
  <c r="T14" i="3"/>
  <c r="S14" i="3"/>
  <c r="R14" i="3"/>
  <c r="O14" i="3"/>
  <c r="M14" i="3"/>
  <c r="Z13" i="3"/>
  <c r="Y13" i="3"/>
  <c r="X13" i="3"/>
  <c r="W13" i="3"/>
  <c r="V13" i="3"/>
  <c r="T13" i="3"/>
  <c r="S13" i="3"/>
  <c r="R13" i="3"/>
  <c r="O13" i="3"/>
  <c r="M13" i="3"/>
  <c r="Z12" i="3"/>
  <c r="Y12" i="3"/>
  <c r="X12" i="3"/>
  <c r="W12" i="3"/>
  <c r="V12" i="3"/>
  <c r="T12" i="3"/>
  <c r="S12" i="3"/>
  <c r="R12" i="3"/>
  <c r="O12" i="3"/>
  <c r="M12" i="3"/>
  <c r="Z11" i="3"/>
  <c r="Y11" i="3"/>
  <c r="X11" i="3"/>
  <c r="W11" i="3"/>
  <c r="V11" i="3"/>
  <c r="T11" i="3"/>
  <c r="S11" i="3"/>
  <c r="R11" i="3"/>
  <c r="O11" i="3"/>
  <c r="M11" i="3"/>
  <c r="Z10" i="3"/>
  <c r="Y10" i="3"/>
  <c r="X10" i="3"/>
  <c r="W10" i="3"/>
  <c r="V10" i="3"/>
  <c r="T10" i="3"/>
  <c r="S10" i="3"/>
  <c r="R10" i="3"/>
  <c r="O10" i="3"/>
  <c r="M10" i="3"/>
  <c r="Z9" i="3"/>
  <c r="Y9" i="3"/>
  <c r="X9" i="3"/>
  <c r="W9" i="3"/>
  <c r="V9" i="3"/>
  <c r="T9" i="3"/>
  <c r="S9" i="3"/>
  <c r="R9" i="3"/>
  <c r="O9" i="3"/>
  <c r="M9" i="3"/>
  <c r="Z8" i="3"/>
  <c r="Y8" i="3"/>
  <c r="X8" i="3"/>
  <c r="W8" i="3"/>
  <c r="V8" i="3"/>
  <c r="T8" i="3" s="1"/>
  <c r="S8" i="3"/>
  <c r="M8" i="3"/>
  <c r="T22" i="3" l="1"/>
  <c r="E11" i="9" s="1"/>
  <c r="I41" i="3"/>
  <c r="I45" i="3"/>
  <c r="I37" i="3"/>
  <c r="R8" i="3" s="1"/>
  <c r="AI13" i="1" l="1"/>
  <c r="AJ13" i="1"/>
  <c r="AC13" i="1"/>
  <c r="AD13" i="1"/>
  <c r="AE13" i="1"/>
  <c r="AF13" i="1"/>
  <c r="AG13" i="1"/>
  <c r="W13" i="1"/>
  <c r="X13" i="1"/>
  <c r="Y13" i="1"/>
  <c r="Z13" i="1"/>
  <c r="AA13" i="1"/>
  <c r="O13" i="1"/>
  <c r="P13" i="1" l="1"/>
  <c r="O15" i="1"/>
  <c r="O16" i="1"/>
  <c r="O17" i="1"/>
  <c r="O18" i="1"/>
  <c r="O19" i="1"/>
  <c r="O14" i="1"/>
  <c r="R16" i="1" l="1"/>
  <c r="U16" i="1"/>
  <c r="T16" i="1"/>
  <c r="S16" i="1"/>
  <c r="L16" i="1" s="1"/>
  <c r="AI15" i="1"/>
  <c r="AI16" i="1"/>
  <c r="AI17" i="1"/>
  <c r="AI18" i="1"/>
  <c r="AI19" i="1"/>
  <c r="AI14" i="1"/>
  <c r="AC15" i="1"/>
  <c r="AC16" i="1"/>
  <c r="AC17" i="1"/>
  <c r="AC18" i="1"/>
  <c r="AC19" i="1"/>
  <c r="AC14" i="1"/>
  <c r="W15" i="1"/>
  <c r="W16" i="1"/>
  <c r="W17" i="1"/>
  <c r="W18" i="1"/>
  <c r="W19" i="1"/>
  <c r="W14" i="1"/>
  <c r="X15" i="1"/>
  <c r="Y15" i="1"/>
  <c r="Z15" i="1"/>
  <c r="AA15" i="1"/>
  <c r="AD15" i="1"/>
  <c r="AE15" i="1"/>
  <c r="AF15" i="1"/>
  <c r="AG15" i="1"/>
  <c r="AJ15" i="1"/>
  <c r="X16" i="1"/>
  <c r="Y16" i="1"/>
  <c r="Z16" i="1"/>
  <c r="AA16" i="1"/>
  <c r="AD16" i="1"/>
  <c r="AE16" i="1"/>
  <c r="AF16" i="1"/>
  <c r="AG16" i="1"/>
  <c r="AJ16" i="1"/>
  <c r="X17" i="1"/>
  <c r="Y17" i="1"/>
  <c r="Z17" i="1"/>
  <c r="AA17" i="1"/>
  <c r="AD17" i="1"/>
  <c r="AE17" i="1"/>
  <c r="AF17" i="1"/>
  <c r="AG17" i="1"/>
  <c r="AJ17" i="1"/>
  <c r="X18" i="1"/>
  <c r="Y18" i="1"/>
  <c r="Z18" i="1"/>
  <c r="AA18" i="1"/>
  <c r="AD18" i="1"/>
  <c r="AE18" i="1"/>
  <c r="AF18" i="1"/>
  <c r="AG18" i="1"/>
  <c r="AJ18" i="1"/>
  <c r="X19" i="1"/>
  <c r="Y19" i="1"/>
  <c r="Z19" i="1"/>
  <c r="AA19" i="1"/>
  <c r="AD19" i="1"/>
  <c r="AE19" i="1"/>
  <c r="AF19" i="1"/>
  <c r="AG19" i="1"/>
  <c r="AJ19" i="1"/>
  <c r="AJ14" i="1"/>
  <c r="AG14" i="1"/>
  <c r="AF14" i="1"/>
  <c r="AE14" i="1"/>
  <c r="AD14" i="1"/>
  <c r="AA14" i="1"/>
  <c r="Z14" i="1"/>
  <c r="Y14" i="1"/>
  <c r="X14" i="1"/>
  <c r="P14" i="1" l="1"/>
  <c r="P15" i="1"/>
  <c r="P19" i="1"/>
  <c r="P18" i="1"/>
  <c r="P17" i="1"/>
  <c r="P16" i="1"/>
  <c r="R14" i="1" l="1"/>
  <c r="S14" i="1"/>
  <c r="U14" i="1"/>
  <c r="T14" i="1"/>
  <c r="S15" i="1"/>
  <c r="R15" i="1"/>
  <c r="U15" i="1"/>
  <c r="T15" i="1"/>
  <c r="M14" i="1"/>
  <c r="M13" i="1"/>
  <c r="M15" i="1"/>
  <c r="M16" i="1"/>
  <c r="M18" i="1"/>
  <c r="M19" i="1"/>
  <c r="L14" i="1" l="1"/>
  <c r="L15" i="1"/>
  <c r="M17" i="1"/>
  <c r="M20" i="1" l="1"/>
  <c r="E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Ngo, Vinh-Phong N. [US-US]</author>
  </authors>
  <commentList>
    <comment ref="O36" authorId="0" shapeId="0" xr:uid="{A69D1765-4701-43BB-ACA1-4E36C5A81A87}">
      <text>
        <r>
          <rPr>
            <sz val="9"/>
            <color indexed="81"/>
            <rFont val="Tahoma"/>
            <family val="2"/>
          </rPr>
          <t>Estimated based on SEER of 9.7</t>
        </r>
      </text>
    </comment>
    <comment ref="E39" authorId="0" shapeId="0" xr:uid="{3C4D459D-FB2D-4955-B48F-646CA83C7C3C}">
      <text>
        <r>
          <rPr>
            <sz val="9"/>
            <color indexed="81"/>
            <rFont val="Tahoma"/>
            <family val="2"/>
          </rPr>
          <t>No federal standard.
Assumes same efficiency requirement as adjacent capacity tier.</t>
        </r>
      </text>
    </comment>
    <comment ref="E44" authorId="0" shapeId="0" xr:uid="{3C157F12-2AF2-428B-A711-C25F83187AE5}">
      <text>
        <r>
          <rPr>
            <sz val="9"/>
            <color indexed="81"/>
            <rFont val="Tahoma"/>
            <family val="2"/>
          </rPr>
          <t>No federal standard.
Assumes same efficiency requirement as adjacent capacity tier.</t>
        </r>
      </text>
    </comment>
    <comment ref="O44" authorId="0" shapeId="0" xr:uid="{C48B4CCA-BA47-403A-A168-87C57D116C74}">
      <text>
        <r>
          <rPr>
            <sz val="9"/>
            <color indexed="81"/>
            <rFont val="Tahoma"/>
            <family val="2"/>
          </rPr>
          <t>No federal standard.
Assumes same efficiency requirement as adjacent capacity tier.</t>
        </r>
      </text>
    </comment>
  </commentList>
</comments>
</file>

<file path=xl/sharedStrings.xml><?xml version="1.0" encoding="utf-8"?>
<sst xmlns="http://schemas.openxmlformats.org/spreadsheetml/2006/main" count="585" uniqueCount="329">
  <si>
    <t>Utility Account Holder Name:</t>
  </si>
  <si>
    <t>Installation Address:</t>
  </si>
  <si>
    <t>Reciprocating</t>
  </si>
  <si>
    <t>Scroll</t>
  </si>
  <si>
    <t>Rotary Screw</t>
  </si>
  <si>
    <t>Centrifugal</t>
  </si>
  <si>
    <t>Application Number:</t>
  </si>
  <si>
    <t>Office</t>
  </si>
  <si>
    <t>Education</t>
  </si>
  <si>
    <t>Restaurant</t>
  </si>
  <si>
    <t>Grocery</t>
  </si>
  <si>
    <t>Retail</t>
  </si>
  <si>
    <t>Health</t>
  </si>
  <si>
    <t>Warehouse</t>
  </si>
  <si>
    <t>Manufacturer</t>
  </si>
  <si>
    <t>Model Number</t>
  </si>
  <si>
    <t>Quantity</t>
  </si>
  <si>
    <t>Incentive</t>
  </si>
  <si>
    <t>IPLV</t>
  </si>
  <si>
    <t>Cooling Capacity (tons)</t>
  </si>
  <si>
    <t>Example : SuperFeeze</t>
  </si>
  <si>
    <t>Big Chill 0200</t>
  </si>
  <si>
    <t xml:space="preserve">Equipment Incentive </t>
  </si>
  <si>
    <t>Air Cooled</t>
  </si>
  <si>
    <t>FL</t>
  </si>
  <si>
    <t>A</t>
  </si>
  <si>
    <t>B</t>
  </si>
  <si>
    <t>0 &lt; tons &lt; 75</t>
  </si>
  <si>
    <t>75 &lt;= tons &lt; 150</t>
  </si>
  <si>
    <t>150 &lt;= tons &lt; 300</t>
  </si>
  <si>
    <t>300 &lt;= tons &lt; 400</t>
  </si>
  <si>
    <t>0 &lt; tons &lt; 150</t>
  </si>
  <si>
    <t>Air-cooled with condenser</t>
  </si>
  <si>
    <t>Positive Displacement
(Reciprocating, Rotary, Screw, Scroll)</t>
  </si>
  <si>
    <t>Type 1</t>
  </si>
  <si>
    <t>Type 2</t>
  </si>
  <si>
    <t>Type 3</t>
  </si>
  <si>
    <t>∞</t>
  </si>
  <si>
    <t>COLUMN</t>
  </si>
  <si>
    <t>TYPE</t>
  </si>
  <si>
    <t>Type 1 Size</t>
  </si>
  <si>
    <t>Type 2 Size</t>
  </si>
  <si>
    <t>Type 3 Size</t>
  </si>
  <si>
    <r>
      <t xml:space="preserve">Path A
</t>
    </r>
    <r>
      <rPr>
        <i/>
        <sz val="10"/>
        <color theme="1"/>
        <rFont val="Calibri"/>
        <family val="2"/>
        <scheme val="minor"/>
      </rPr>
      <t>Units: EER</t>
    </r>
  </si>
  <si>
    <r>
      <t xml:space="preserve">Path B
</t>
    </r>
    <r>
      <rPr>
        <i/>
        <sz val="10"/>
        <color theme="1"/>
        <rFont val="Calibri"/>
        <family val="2"/>
        <scheme val="minor"/>
      </rPr>
      <t>Units: EER</t>
    </r>
  </si>
  <si>
    <r>
      <rPr>
        <sz val="11"/>
        <color theme="1"/>
        <rFont val="Calibri"/>
        <family val="2"/>
      </rPr>
      <t>•</t>
    </r>
    <r>
      <rPr>
        <sz val="9.35"/>
        <color theme="1"/>
        <rFont val="Calibri"/>
        <family val="2"/>
      </rPr>
      <t xml:space="preserve"> </t>
    </r>
    <r>
      <rPr>
        <sz val="11"/>
        <color theme="1"/>
        <rFont val="Calibri"/>
        <family val="2"/>
        <scheme val="minor"/>
      </rPr>
      <t>The cooling capacity, FL, &amp; IPLV values entered must be the AHRI rated values defined by AHRI 550/590 &amp; AHRI 551/591.</t>
    </r>
  </si>
  <si>
    <t>Notes:</t>
  </si>
  <si>
    <t>Total Incentive Requested:</t>
  </si>
  <si>
    <t>&gt;= 150 tons</t>
  </si>
  <si>
    <t>Building Type</t>
  </si>
  <si>
    <t>Misc. Commercial</t>
  </si>
  <si>
    <t>Hotel/Motel</t>
  </si>
  <si>
    <t>CF</t>
  </si>
  <si>
    <t>EFLH</t>
  </si>
  <si>
    <t>Qualifying</t>
  </si>
  <si>
    <t>Chiller Type</t>
  </si>
  <si>
    <t>Chiller Types</t>
  </si>
  <si>
    <t>• any chiller part of a larger, multi-system plant</t>
  </si>
  <si>
    <t xml:space="preserve">• Contact Hawaii Energy for evaluation of: </t>
  </si>
  <si>
    <t>Facility Type:</t>
  </si>
  <si>
    <t>Type</t>
  </si>
  <si>
    <t>Subtype</t>
  </si>
  <si>
    <t>AC - Package/Split</t>
  </si>
  <si>
    <t>Single-Phase</t>
  </si>
  <si>
    <t>HP - Air-Source Package</t>
  </si>
  <si>
    <t>Three-Phase</t>
  </si>
  <si>
    <t>HP - Air-Source Split</t>
  </si>
  <si>
    <t>HP - Water Source</t>
  </si>
  <si>
    <t xml:space="preserve">    Installation Type: </t>
  </si>
  <si>
    <t>Replacement at End-of-Life / New Construction</t>
  </si>
  <si>
    <t>Early Replacement</t>
  </si>
  <si>
    <t>Rated Capacity
(BTU/hr)</t>
  </si>
  <si>
    <t>Rated Capacity
(tons)</t>
  </si>
  <si>
    <t>Full Load
EER</t>
  </si>
  <si>
    <t>Partial Load
SEER(2)|IEER</t>
  </si>
  <si>
    <t xml:space="preserve">Incentive (per ton) </t>
  </si>
  <si>
    <t xml:space="preserve">Incentive </t>
  </si>
  <si>
    <t>Indoor</t>
  </si>
  <si>
    <t>Outdoor</t>
  </si>
  <si>
    <t>Minimum</t>
  </si>
  <si>
    <t>example: SuperFreeze</t>
  </si>
  <si>
    <t>XYZ1234</t>
  </si>
  <si>
    <t>60ABC12</t>
  </si>
  <si>
    <t>Quantity x Rated Cooling Capacity (tons) x Equipment Incentive per ton ($/ton) = Incentive ($)</t>
  </si>
  <si>
    <t>* Ignores Single-Phase subtype unless capacity is under 5.42 tons</t>
  </si>
  <si>
    <t>Definition:</t>
  </si>
  <si>
    <t>Inverter-driven direct expansion AC and heat pump systems that use variable flow distributed refrigerant technology for cooling and heating to more closely match the system's output with the building's cooling requirements. These systems consist of: outdoor unit with a single variable speed compressor or multiple staged compressors capable of varying system capacity and distributing refrigerant through a piping network, multiple indoor evaporator units with variable speed fans designed for single zone air distribution, and zonal temperature controls. Variable refrigerant flow (VRF) implies three or more steps of control on standard, interconnecting piping.</t>
  </si>
  <si>
    <t>Application Checklist:</t>
  </si>
  <si>
    <t>1)</t>
  </si>
  <si>
    <t>Completed Commercial and Industrial Incentive Application</t>
  </si>
  <si>
    <t>2)</t>
  </si>
  <si>
    <t>Completed HVAC Incentive Worksheet</t>
  </si>
  <si>
    <t>3)</t>
  </si>
  <si>
    <t>Equipment schedule or manufacturer's specification and data sheets listing unit's manufacturer, model number, capacity, efficiency and service area.</t>
  </si>
  <si>
    <t>4)</t>
  </si>
  <si>
    <t>AHRI Certificate</t>
  </si>
  <si>
    <t>5)</t>
  </si>
  <si>
    <t>Dated sales receipt/invoice</t>
  </si>
  <si>
    <t>Unit Size</t>
  </si>
  <si>
    <t>AC
 Package/Split</t>
  </si>
  <si>
    <t xml:space="preserve">Single-Phase </t>
  </si>
  <si>
    <r>
      <t xml:space="preserve">&gt;= </t>
    </r>
    <r>
      <rPr>
        <i/>
        <sz val="11"/>
        <color theme="1"/>
        <rFont val="Calibri"/>
        <family val="2"/>
        <scheme val="minor"/>
      </rPr>
      <t>BTU/hr</t>
    </r>
    <r>
      <rPr>
        <sz val="11"/>
        <color theme="1"/>
        <rFont val="Calibri"/>
        <family val="2"/>
        <scheme val="minor"/>
      </rPr>
      <t xml:space="preserve"> &lt;</t>
    </r>
  </si>
  <si>
    <r>
      <t xml:space="preserve">&gt;= </t>
    </r>
    <r>
      <rPr>
        <i/>
        <sz val="11"/>
        <color theme="1"/>
        <rFont val="Calibri"/>
        <family val="2"/>
        <scheme val="minor"/>
      </rPr>
      <t>tons</t>
    </r>
    <r>
      <rPr>
        <sz val="11"/>
        <color theme="1"/>
        <rFont val="Calibri"/>
        <family val="2"/>
        <scheme val="minor"/>
      </rPr>
      <t xml:space="preserve"> &lt;</t>
    </r>
  </si>
  <si>
    <t xml:space="preserve">Three-Phase </t>
  </si>
  <si>
    <t>HP
Air-Source  Package</t>
  </si>
  <si>
    <t>HP
Air-Source
Split</t>
  </si>
  <si>
    <t>HP
Water-Source Package/Split</t>
  </si>
  <si>
    <t>Single/Three-Phase</t>
  </si>
  <si>
    <t>Incentive per ton:</t>
  </si>
  <si>
    <t>General Commercial Cooling Equivalent Full Load Hours (EFLH) and Coincident Factor (CF)</t>
  </si>
  <si>
    <t>The general cooling equivalent full load hours and coincidence factors were updated for the PY19 TRM. Refer to these AEG analysis files for more information: "AEG HPUC Update of Commercial Chillers - Analysis File" and "AEG HPUC EFLH and CF Analysis - Non-Holiday Weekdays."</t>
  </si>
  <si>
    <t>Table 2.  General Commercial Cooling: Equivalent Full Load Hours &amp; Coincidence Factors</t>
  </si>
  <si>
    <t>Use custom approach for entries noted as "Varies."</t>
  </si>
  <si>
    <t>Source: AEG's analysis of DOE's OpenEI load shapes using Hawai‘i-specific prototypes, weather data, and peak demand period.</t>
  </si>
  <si>
    <t>Air Conditioning &amp; Heat Pump Savings Worksheet</t>
  </si>
  <si>
    <t>Step 1:  Enter AC nameplate data</t>
  </si>
  <si>
    <t>Step 2:  Determine if it qualifies</t>
  </si>
  <si>
    <t>Step 3:  Calculate savings against baseline</t>
  </si>
  <si>
    <t>AC types</t>
  </si>
  <si>
    <t>Enter AC type:</t>
  </si>
  <si>
    <t>Tier 1 FL:</t>
  </si>
  <si>
    <t>Base Efficiency:</t>
  </si>
  <si>
    <t>Packaged</t>
  </si>
  <si>
    <r>
      <t xml:space="preserve">Enter AC size </t>
    </r>
    <r>
      <rPr>
        <b/>
        <sz val="8"/>
        <color theme="1"/>
        <rFont val="Calibri"/>
        <family val="2"/>
        <scheme val="minor"/>
      </rPr>
      <t>(Btuh)</t>
    </r>
    <r>
      <rPr>
        <b/>
        <sz val="11"/>
        <color theme="1"/>
        <rFont val="Calibri"/>
        <family val="2"/>
        <scheme val="minor"/>
      </rPr>
      <t>:</t>
    </r>
  </si>
  <si>
    <t>Tier 1 PL:</t>
  </si>
  <si>
    <t>Enhanced Efficiency:</t>
  </si>
  <si>
    <t>Split</t>
  </si>
  <si>
    <t>Enter building type:</t>
  </si>
  <si>
    <t>kW/ton Delta</t>
  </si>
  <si>
    <t>PTAC</t>
  </si>
  <si>
    <t>Full Load Efficiency:</t>
  </si>
  <si>
    <t>EER</t>
  </si>
  <si>
    <t>Tier 2 FL:</t>
  </si>
  <si>
    <t>CF:</t>
  </si>
  <si>
    <t>PTHP</t>
  </si>
  <si>
    <t>Part Load Efficiency:</t>
  </si>
  <si>
    <t>Tier 2 PL:</t>
  </si>
  <si>
    <t>EFLH:</t>
  </si>
  <si>
    <t>Vertical HP ***</t>
  </si>
  <si>
    <t>Building type requires custom Coincidence Factor &amp; EFLH.</t>
  </si>
  <si>
    <t>kW savings:</t>
  </si>
  <si>
    <t>Water Source HP</t>
  </si>
  <si>
    <t>Coincidence Factor:</t>
  </si>
  <si>
    <t>Tier 3 FL:</t>
  </si>
  <si>
    <t>kWh/yr savings:</t>
  </si>
  <si>
    <t>Tier 3 PL:</t>
  </si>
  <si>
    <t>Incentive qualifications:  CEE Proposed Standards</t>
  </si>
  <si>
    <t>Baseline specifications:  IECC 2006 code</t>
  </si>
  <si>
    <t>Tier 1</t>
  </si>
  <si>
    <t>Tier 2</t>
  </si>
  <si>
    <t>Advanced Tier</t>
  </si>
  <si>
    <t>AC/HP: Packaged/Split</t>
  </si>
  <si>
    <t xml:space="preserve"> &lt;65,000</t>
  </si>
  <si>
    <t>Capacity</t>
  </si>
  <si>
    <t>Tier 1 Cutoff</t>
  </si>
  <si>
    <t>≥65,000 &lt;135,000</t>
  </si>
  <si>
    <t>Tier 2 Cutoff</t>
  </si>
  <si>
    <t>Tier 3 Cutoff</t>
  </si>
  <si>
    <t xml:space="preserve"> ≥135,000 &lt;240,000</t>
  </si>
  <si>
    <t>Qualifying Tier</t>
  </si>
  <si>
    <t>Base EER</t>
  </si>
  <si>
    <t xml:space="preserve"> ≥240,000 &lt;760,000</t>
  </si>
  <si>
    <t xml:space="preserve"> ≥760,000</t>
  </si>
  <si>
    <t>na</t>
  </si>
  <si>
    <t>PTAC/PTHP</t>
  </si>
  <si>
    <t>Standard *</t>
  </si>
  <si>
    <t>Non-Standard **</t>
  </si>
  <si>
    <t>Variable Size</t>
  </si>
  <si>
    <t>&lt;7,000</t>
  </si>
  <si>
    <t>Qualifying EER</t>
  </si>
  <si>
    <r>
      <t xml:space="preserve">≥7,000 </t>
    </r>
    <r>
      <rPr>
        <sz val="11"/>
        <color theme="1"/>
        <rFont val="Calibri"/>
        <family val="2"/>
      </rPr>
      <t>≤15,000</t>
    </r>
  </si>
  <si>
    <t>&gt;15,000</t>
  </si>
  <si>
    <t>HP</t>
  </si>
  <si>
    <t>Vertical HP</t>
  </si>
  <si>
    <t>&lt;65,000</t>
  </si>
  <si>
    <t>≥135,000 &lt;240,000</t>
  </si>
  <si>
    <t>≥240,000</t>
  </si>
  <si>
    <t>&lt;17,000</t>
  </si>
  <si>
    <t>≥17,000 &lt;135,000</t>
  </si>
  <si>
    <t>≥135,000</t>
  </si>
  <si>
    <r>
      <rPr>
        <b/>
        <i/>
        <sz val="8"/>
        <color theme="1"/>
        <rFont val="Calibri"/>
        <family val="2"/>
        <scheme val="minor"/>
      </rPr>
      <t>*</t>
    </r>
    <r>
      <rPr>
        <i/>
        <sz val="8"/>
        <color theme="1"/>
        <rFont val="Calibri"/>
        <family val="2"/>
        <scheme val="minor"/>
      </rPr>
      <t xml:space="preserve"> Wall sleeve dimensions having an external wall opening </t>
    </r>
    <r>
      <rPr>
        <i/>
        <sz val="8"/>
        <color theme="1"/>
        <rFont val="Calibri"/>
        <family val="2"/>
      </rPr>
      <t>≥</t>
    </r>
    <r>
      <rPr>
        <i/>
        <sz val="8"/>
        <color theme="1"/>
        <rFont val="Calibri"/>
        <family val="2"/>
        <scheme val="minor"/>
      </rPr>
      <t xml:space="preserve"> 16 in. high or </t>
    </r>
    <r>
      <rPr>
        <i/>
        <sz val="8"/>
        <color theme="1"/>
        <rFont val="Calibri"/>
        <family val="2"/>
      </rPr>
      <t>≥</t>
    </r>
    <r>
      <rPr>
        <i/>
        <sz val="8"/>
        <color theme="1"/>
        <rFont val="Calibri"/>
        <family val="2"/>
        <scheme val="minor"/>
      </rPr>
      <t xml:space="preserve"> 42 in. wide, and cross-sectional area </t>
    </r>
    <r>
      <rPr>
        <i/>
        <sz val="8"/>
        <color theme="1"/>
        <rFont val="Calibri"/>
        <family val="2"/>
      </rPr>
      <t>≥</t>
    </r>
    <r>
      <rPr>
        <i/>
        <sz val="8"/>
        <color theme="1"/>
        <rFont val="Calibri"/>
        <family val="2"/>
        <scheme val="minor"/>
      </rPr>
      <t xml:space="preserve"> 670 sq. in. 
</t>
    </r>
    <r>
      <rPr>
        <b/>
        <i/>
        <sz val="8"/>
        <color theme="1"/>
        <rFont val="Calibri"/>
        <family val="2"/>
        <scheme val="minor"/>
      </rPr>
      <t>**</t>
    </r>
    <r>
      <rPr>
        <i/>
        <sz val="8"/>
        <color theme="1"/>
        <rFont val="Calibri"/>
        <family val="2"/>
        <scheme val="minor"/>
      </rPr>
      <t xml:space="preserve"> Wall sleeve dimensions having an external wall opening </t>
    </r>
    <r>
      <rPr>
        <i/>
        <sz val="8"/>
        <color theme="1"/>
        <rFont val="Calibri"/>
        <family val="2"/>
      </rPr>
      <t>&lt;</t>
    </r>
    <r>
      <rPr>
        <i/>
        <sz val="8"/>
        <color theme="1"/>
        <rFont val="Calibri"/>
        <family val="2"/>
        <scheme val="minor"/>
      </rPr>
      <t xml:space="preserve"> 16 in. high or &lt; 42 in. wide, and cross-sectional area &lt; 670 sq. in.
</t>
    </r>
    <r>
      <rPr>
        <b/>
        <i/>
        <sz val="8"/>
        <color theme="1"/>
        <rFont val="Calibri"/>
        <family val="2"/>
        <scheme val="minor"/>
      </rPr>
      <t>***</t>
    </r>
    <r>
      <rPr>
        <i/>
        <sz val="8"/>
        <color theme="1"/>
        <rFont val="Calibri"/>
        <family val="2"/>
        <scheme val="minor"/>
      </rPr>
      <t xml:space="preserve"> Defined as a single-packaged, air-cooled heat pump with a vertical configuration. </t>
    </r>
    <r>
      <rPr>
        <b/>
        <i/>
        <vertAlign val="superscript"/>
        <sz val="8"/>
        <color theme="1"/>
        <rFont val="Calibri"/>
        <family val="2"/>
        <scheme val="minor"/>
      </rPr>
      <t/>
    </r>
  </si>
  <si>
    <t>need to use ctrl+shift+enter</t>
  </si>
  <si>
    <t>Packaged/Split AC</t>
  </si>
  <si>
    <t>Air-Source HP</t>
  </si>
  <si>
    <t>Water-Source HP</t>
  </si>
  <si>
    <t>Vertical AC/HP</t>
  </si>
  <si>
    <t>Variable Comp. Window AC</t>
  </si>
  <si>
    <t>Single Phase Packaged/Split AC</t>
  </si>
  <si>
    <t>Single Phase Packaged/Split HP</t>
  </si>
  <si>
    <t>Three Phase Packaged/Split AC</t>
  </si>
  <si>
    <t>Three Phase Packaged HP</t>
  </si>
  <si>
    <t>Three Phase Split HP</t>
  </si>
  <si>
    <t>Phase</t>
  </si>
  <si>
    <t>Rated Capacity (BTU/hr)</t>
  </si>
  <si>
    <t>Rated Capacity (tons)</t>
  </si>
  <si>
    <t>Full Load EER</t>
  </si>
  <si>
    <t>Partial Load 
SEER|IEER|CEER</t>
  </si>
  <si>
    <t>Lookup</t>
  </si>
  <si>
    <t>Tier 1 - FL</t>
  </si>
  <si>
    <t>Tier 1 - PL</t>
  </si>
  <si>
    <t>Tier 2 - FL</t>
  </si>
  <si>
    <t>Tier 2 - PL</t>
  </si>
  <si>
    <t>Tier 3 - FL</t>
  </si>
  <si>
    <t>Tier 3 - PL</t>
  </si>
  <si>
    <t>Qualifying FL</t>
  </si>
  <si>
    <t>Qualifying PL</t>
  </si>
  <si>
    <t>Capacity Category</t>
  </si>
  <si>
    <t>Base</t>
  </si>
  <si>
    <t xml:space="preserve">  example: SuperFreeze</t>
  </si>
  <si>
    <t>SFABSC111-A-44</t>
  </si>
  <si>
    <t>Single Phase</t>
  </si>
  <si>
    <t>Packaged AC &gt;= 65,000 BTU/hr</t>
  </si>
  <si>
    <t>Packaged AC &lt; 65,000 BTU/hr</t>
  </si>
  <si>
    <t>Split AC &lt; 65,000 BTU/hr</t>
  </si>
  <si>
    <t>Tier 3</t>
  </si>
  <si>
    <t>Packaged HP &lt; 65,000 BTU/hr</t>
  </si>
  <si>
    <t>Split HP &lt; 65,000 BTU/hr</t>
  </si>
  <si>
    <t>&lt; BTU/hr &lt;</t>
  </si>
  <si>
    <t>&lt; tons &lt;</t>
  </si>
  <si>
    <t>Split AC &gt;= 65,000 BTU/hr</t>
  </si>
  <si>
    <t>≤ BTU/hr &lt;</t>
  </si>
  <si>
    <t>≤ tons &lt;</t>
  </si>
  <si>
    <t>Standard PTAC *</t>
  </si>
  <si>
    <t>Non-standard PTAC **</t>
  </si>
  <si>
    <t>Packaged HP</t>
  </si>
  <si>
    <t>Split HP</t>
  </si>
  <si>
    <t>Standard PTHP *</t>
  </si>
  <si>
    <t>Non-standard PTHP **</t>
  </si>
  <si>
    <t>Air Source HP</t>
  </si>
  <si>
    <r>
      <t xml:space="preserve">Vertical AC/HP </t>
    </r>
    <r>
      <rPr>
        <i/>
        <sz val="11"/>
        <color theme="1"/>
        <rFont val="Calibri"/>
        <family val="2"/>
        <scheme val="minor"/>
      </rPr>
      <t>***</t>
    </r>
  </si>
  <si>
    <t>Three Phase</t>
  </si>
  <si>
    <t>Variable-speed Compressor Window AC</t>
  </si>
  <si>
    <t xml:space="preserve">≤ BTU/hr </t>
  </si>
  <si>
    <t xml:space="preserve">≤ tons </t>
  </si>
  <si>
    <t xml:space="preserve"> </t>
  </si>
  <si>
    <t>Contact Hawaii Energy</t>
  </si>
  <si>
    <r>
      <t xml:space="preserve">Size Dependent </t>
    </r>
    <r>
      <rPr>
        <vertAlign val="superscript"/>
        <sz val="11"/>
        <color theme="1"/>
        <rFont val="Calibri"/>
        <family val="2"/>
        <scheme val="minor"/>
      </rPr>
      <t>+</t>
    </r>
  </si>
  <si>
    <r>
      <t xml:space="preserve">Size Dependent </t>
    </r>
    <r>
      <rPr>
        <vertAlign val="superscript"/>
        <sz val="11"/>
        <color theme="1"/>
        <rFont val="Calibri"/>
        <family val="2"/>
        <scheme val="minor"/>
      </rPr>
      <t>++</t>
    </r>
  </si>
  <si>
    <r>
      <t xml:space="preserve">Size Dependent </t>
    </r>
    <r>
      <rPr>
        <vertAlign val="superscript"/>
        <sz val="11"/>
        <color theme="1"/>
        <rFont val="Calibri"/>
        <family val="2"/>
        <scheme val="minor"/>
      </rPr>
      <t>+++</t>
    </r>
  </si>
  <si>
    <t>≤ BTU/hr</t>
  </si>
  <si>
    <t>Vertical AC/HP ***</t>
  </si>
  <si>
    <t>Constant Volume</t>
  </si>
  <si>
    <t>Inlet Damper Box</t>
  </si>
  <si>
    <t>Equipment VFD Installed On</t>
  </si>
  <si>
    <t>Existing Fan: 
Baseline Control</t>
  </si>
  <si>
    <t xml:space="preserve"> Existing Fan: 
Annual Equivalent Full Load Hours</t>
  </si>
  <si>
    <t>VFD Control Basis</t>
  </si>
  <si>
    <t>Motor Efficiency</t>
  </si>
  <si>
    <t>Motor Qty</t>
  </si>
  <si>
    <t>Inlet Guide Vane, FC</t>
  </si>
  <si>
    <t>Ex. Air Handling Unit 1 &amp; 2, 1st Floor</t>
  </si>
  <si>
    <t>Maintain Constant Duct Static Pressure</t>
  </si>
  <si>
    <t>Outlet Damper</t>
  </si>
  <si>
    <t>Program Qualifications</t>
  </si>
  <si>
    <t>• Require pre-notification before projects begin.</t>
  </si>
  <si>
    <t>• The Program reserves the right to perform on-site verifications, both pre- and post-installation.</t>
  </si>
  <si>
    <t>• Existing equipment must not have a working VFD.</t>
  </si>
  <si>
    <t>• The VFDs must actively control and vary the fan speed.</t>
  </si>
  <si>
    <t>• New construction is not eligible.</t>
  </si>
  <si>
    <t>Worksheet Instructions</t>
  </si>
  <si>
    <t>Fill in the following information using one line for each unit installed. Identical units may be grouped on a single line.</t>
  </si>
  <si>
    <t>1. VFD Equipment Installed On -- Indicate the location &amp; purpose of the equipment that the VFD controls.</t>
  </si>
  <si>
    <t>2. Baseline Control -- Control method prior to VFD installation.</t>
  </si>
  <si>
    <t>3. Annual Equivalent Full Load Hours -- Full load hours prior to VFD installation.</t>
  </si>
  <si>
    <t>4. VFD Control Basis -- List the sequence or control method for the VFD speed.</t>
  </si>
  <si>
    <t>5. HP per Motor -- Size of the motor that the VFD controls.</t>
  </si>
  <si>
    <t>6. Motor Efficiency -- Rated efficiency of the motor that the VFD controls.</t>
  </si>
  <si>
    <t>7. Qty of Motors -- Quantity of motors controlled by the VFD.</t>
  </si>
  <si>
    <t>8. Notes -- Add any additional information that is relevant to the project.</t>
  </si>
  <si>
    <t>Fan</t>
  </si>
  <si>
    <t>Pump</t>
  </si>
  <si>
    <t>VFD Controlled Equipment</t>
  </si>
  <si>
    <t>Fan Baseline Controls</t>
  </si>
  <si>
    <t>Pump Baseline Controls</t>
  </si>
  <si>
    <t>Eddy Current Drive</t>
  </si>
  <si>
    <t>Throttle Valve</t>
  </si>
  <si>
    <t>Incentive per HP</t>
  </si>
  <si>
    <t>Motor Horsepower</t>
  </si>
  <si>
    <t>Incentive Amount</t>
  </si>
  <si>
    <t>Incentive  Per HP</t>
  </si>
  <si>
    <t>Hotel Size</t>
  </si>
  <si>
    <t>Hotel Capacity:</t>
  </si>
  <si>
    <t>≥ 100 guest rooms</t>
  </si>
  <si>
    <t>&lt; 100 guest rooms</t>
  </si>
  <si>
    <t>EMS Brand</t>
  </si>
  <si>
    <t>Quantity of Unit Controlled</t>
  </si>
  <si>
    <t>Total Incentive per Room:</t>
  </si>
  <si>
    <t>Total Project Cost:</t>
  </si>
  <si>
    <t>% of Total Project Cost:</t>
  </si>
  <si>
    <t>• All entry and lanai doors must have door switches or other technologies that will de-energize the fan coil unit (FCU) when the door remains open.</t>
  </si>
  <si>
    <t>• All main rooms must have occupancy sensors that will de-energize the FCU when no movement is detected for a given period of time (not to exceed 15 minutes).</t>
  </si>
  <si>
    <t>• Thermostat controls must be preset.</t>
  </si>
  <si>
    <t>• Applicant must be on a Commercial Rate Schedule (reference utility bill).</t>
  </si>
  <si>
    <t>• System must be demand-response enabled: Controls are networked with a global command feature that can control all points, e.g. zone temperature set point, and can respond to demand response signals.</t>
  </si>
  <si>
    <t>• any chiller installed in industrial or cold storage application</t>
  </si>
  <si>
    <t xml:space="preserve">• Vertical AC and HP systems with capacities ≥ 240,000 Btu/h in total																							</t>
  </si>
  <si>
    <t>• Split/single package AC and air-source HP systems with capacities ≥ 240,000 Btu/h in total</t>
  </si>
  <si>
    <t>• Water-source HP systems with capacities ≥ 135,000 Btu/h in total</t>
  </si>
  <si>
    <t>• Installations in industrial or cold storage applications</t>
  </si>
  <si>
    <t>Incentive Rate:</t>
  </si>
  <si>
    <t>Project/Building Name:</t>
  </si>
  <si>
    <r>
      <rPr>
        <b/>
        <sz val="14"/>
        <color theme="1"/>
        <rFont val="Calibri"/>
        <family val="2"/>
        <scheme val="minor"/>
      </rPr>
      <t>HVAC Incentive Worksheets</t>
    </r>
    <r>
      <rPr>
        <sz val="11"/>
        <color theme="1"/>
        <rFont val="Calibri"/>
        <family val="2"/>
        <scheme val="minor"/>
      </rPr>
      <t xml:space="preserve">
</t>
    </r>
    <r>
      <rPr>
        <sz val="12"/>
        <color theme="1"/>
        <rFont val="Calibri"/>
        <family val="2"/>
        <scheme val="minor"/>
      </rPr>
      <t xml:space="preserve">Effective </t>
    </r>
    <r>
      <rPr>
        <sz val="12"/>
        <color rgb="FFFF0000"/>
        <rFont val="Calibri"/>
        <family val="2"/>
        <scheme val="minor"/>
      </rPr>
      <t>July 1, 2025</t>
    </r>
    <r>
      <rPr>
        <sz val="12"/>
        <color theme="1"/>
        <rFont val="Calibri"/>
        <family val="2"/>
        <scheme val="minor"/>
      </rPr>
      <t xml:space="preserve"> to </t>
    </r>
    <r>
      <rPr>
        <sz val="12"/>
        <color rgb="FFFF0000"/>
        <rFont val="Calibri"/>
        <family val="2"/>
        <scheme val="minor"/>
      </rPr>
      <t>June 30, 2026</t>
    </r>
    <r>
      <rPr>
        <sz val="12"/>
        <color theme="1"/>
        <rFont val="Calibri"/>
        <family val="2"/>
        <scheme val="minor"/>
      </rPr>
      <t>.</t>
    </r>
    <r>
      <rPr>
        <sz val="11"/>
        <color theme="1"/>
        <rFont val="Calibri"/>
        <family val="2"/>
        <scheme val="minor"/>
      </rPr>
      <t xml:space="preserve"> </t>
    </r>
    <r>
      <rPr>
        <sz val="6"/>
        <color theme="1"/>
        <rFont val="Calibri"/>
        <family val="2"/>
        <scheme val="minor"/>
      </rPr>
      <t>(WKS_C_HVAC_PY25_1VPN</t>
    </r>
    <r>
      <rPr>
        <sz val="11"/>
        <color theme="1"/>
        <rFont val="Calibri"/>
        <family val="2"/>
        <scheme val="minor"/>
      </rPr>
      <t xml:space="preserve">
</t>
    </r>
    <r>
      <rPr>
        <sz val="10"/>
        <color theme="1"/>
        <rFont val="Calibri"/>
        <family val="2"/>
        <scheme val="minor"/>
      </rPr>
      <t>Hawai‘i Energy's mission is to empower island families and businesses to make smart energy choices that reduce energy consumption, save money and pursue a 100% clean energy future.</t>
    </r>
  </si>
  <si>
    <t>Chiller Incentive Worksheet</t>
  </si>
  <si>
    <t>Radio Button Value</t>
  </si>
  <si>
    <t>HVAC Packaged, Split System, and Window A/C Incentive Worksheet</t>
  </si>
  <si>
    <t>Inverter Variable Refrigerant Flow Air Conditioners &amp; Heat Pumps incentive Worksheet</t>
  </si>
  <si>
    <t>Hotel Guest Room Energy Management System (EMS) Incentive Worksheet</t>
  </si>
  <si>
    <t>HVAC Variable Frequency Drive (VFD) Incentive Worksheet</t>
  </si>
  <si>
    <t>Total Incentive Amount</t>
  </si>
  <si>
    <t>Chillers</t>
  </si>
  <si>
    <t>Guest Room EMS</t>
  </si>
  <si>
    <t>Variable Frequency Drive (VFD)</t>
  </si>
  <si>
    <t>Inverter-driven Variable Refrigerant Flow (IVRF)</t>
  </si>
  <si>
    <t>Air Conditioners &amp; Heat Pumps</t>
  </si>
  <si>
    <t>Packaged/Split HP</t>
  </si>
  <si>
    <t>AC &amp; Air-source HP | Less than 65,000 BTU/hr | Single-phase:</t>
  </si>
  <si>
    <t>AC &amp; Air-source HP | Less than 65,000 BTU/hr | Three-phase:</t>
  </si>
  <si>
    <t>AC &amp; Air-source HP | 65,000 BTU/hr to 240,000 BTU/hr:</t>
  </si>
  <si>
    <t>Water-source HP:</t>
  </si>
  <si>
    <t>Vertical AC &amp; HP:</t>
  </si>
  <si>
    <t>Window AC | Variable-speed Compressor:</t>
  </si>
  <si>
    <t>Packaged Terminal AC &amp; HP:</t>
  </si>
  <si>
    <r>
      <rPr>
        <b/>
        <i/>
        <sz val="10"/>
        <color theme="1"/>
        <rFont val="Calibri"/>
        <family val="2"/>
        <scheme val="minor"/>
      </rPr>
      <t>*</t>
    </r>
    <r>
      <rPr>
        <i/>
        <sz val="10"/>
        <color theme="1"/>
        <rFont val="Calibri"/>
        <family val="2"/>
        <scheme val="minor"/>
      </rPr>
      <t xml:space="preserve"> Wall sleeve dimensions having an external wall opening </t>
    </r>
    <r>
      <rPr>
        <i/>
        <sz val="10"/>
        <color theme="1"/>
        <rFont val="Calibri"/>
        <family val="2"/>
      </rPr>
      <t>≥</t>
    </r>
    <r>
      <rPr>
        <i/>
        <sz val="10"/>
        <color theme="1"/>
        <rFont val="Calibri"/>
        <family val="2"/>
        <scheme val="minor"/>
      </rPr>
      <t xml:space="preserve"> 16 in. high or </t>
    </r>
    <r>
      <rPr>
        <i/>
        <sz val="10"/>
        <color theme="1"/>
        <rFont val="Calibri"/>
        <family val="2"/>
      </rPr>
      <t>≥</t>
    </r>
    <r>
      <rPr>
        <i/>
        <sz val="10"/>
        <color theme="1"/>
        <rFont val="Calibri"/>
        <family val="2"/>
        <scheme val="minor"/>
      </rPr>
      <t xml:space="preserve"> 42 in. wide, and cross-sectional area </t>
    </r>
    <r>
      <rPr>
        <i/>
        <sz val="10"/>
        <color theme="1"/>
        <rFont val="Calibri"/>
        <family val="2"/>
      </rPr>
      <t>≥</t>
    </r>
    <r>
      <rPr>
        <i/>
        <sz val="10"/>
        <color theme="1"/>
        <rFont val="Calibri"/>
        <family val="2"/>
        <scheme val="minor"/>
      </rPr>
      <t xml:space="preserve"> 670 sq. in. 
</t>
    </r>
    <r>
      <rPr>
        <b/>
        <i/>
        <sz val="10"/>
        <color theme="1"/>
        <rFont val="Calibri"/>
        <family val="2"/>
        <scheme val="minor"/>
      </rPr>
      <t>**</t>
    </r>
    <r>
      <rPr>
        <i/>
        <sz val="10"/>
        <color theme="1"/>
        <rFont val="Calibri"/>
        <family val="2"/>
        <scheme val="minor"/>
      </rPr>
      <t xml:space="preserve"> Wall sleeve dimensions having an external wall opening </t>
    </r>
    <r>
      <rPr>
        <i/>
        <sz val="10"/>
        <color theme="1"/>
        <rFont val="Calibri"/>
        <family val="2"/>
      </rPr>
      <t>&lt;</t>
    </r>
    <r>
      <rPr>
        <i/>
        <sz val="10"/>
        <color theme="1"/>
        <rFont val="Calibri"/>
        <family val="2"/>
        <scheme val="minor"/>
      </rPr>
      <t xml:space="preserve"> 16 in. high or &lt; 42 in. wide, and cross-sectional area &lt; 670 sq. in.
</t>
    </r>
    <r>
      <rPr>
        <b/>
        <i/>
        <sz val="10"/>
        <color theme="1"/>
        <rFont val="Calibri"/>
        <family val="2"/>
        <scheme val="minor"/>
      </rPr>
      <t>***</t>
    </r>
    <r>
      <rPr>
        <i/>
        <sz val="10"/>
        <color theme="1"/>
        <rFont val="Calibri"/>
        <family val="2"/>
        <scheme val="minor"/>
      </rPr>
      <t xml:space="preserve"> Defined as a single-packaged, air-cooled AC or HP with a vertical configuration. 
</t>
    </r>
    <r>
      <rPr>
        <b/>
        <i/>
        <vertAlign val="superscript"/>
        <sz val="10"/>
        <color theme="1"/>
        <rFont val="Calibri"/>
        <family val="2"/>
        <scheme val="minor"/>
      </rPr>
      <t>+</t>
    </r>
    <r>
      <rPr>
        <i/>
        <sz val="10"/>
        <color theme="1"/>
        <rFont val="Calibri"/>
        <family val="2"/>
        <scheme val="minor"/>
      </rPr>
      <t xml:space="preserve"> EER = ( 14.0 − ( 0.300 × [Capacity in kBTU/h] ) ) * 1.10 
</t>
    </r>
    <r>
      <rPr>
        <b/>
        <i/>
        <vertAlign val="superscript"/>
        <sz val="10"/>
        <color theme="1"/>
        <rFont val="Calibri"/>
        <family val="2"/>
        <scheme val="minor"/>
      </rPr>
      <t>++</t>
    </r>
    <r>
      <rPr>
        <i/>
        <sz val="10"/>
        <color theme="1"/>
        <rFont val="Calibri"/>
        <family val="2"/>
        <scheme val="minor"/>
      </rPr>
      <t xml:space="preserve"> EER = ( 10.9 − ( 0.213 × [Capacity in kBTU/h] ) ) * 1.10 
</t>
    </r>
    <r>
      <rPr>
        <b/>
        <i/>
        <vertAlign val="superscript"/>
        <sz val="10"/>
        <color theme="1"/>
        <rFont val="Calibri"/>
        <family val="2"/>
        <scheme val="minor"/>
      </rPr>
      <t>+++</t>
    </r>
    <r>
      <rPr>
        <i/>
        <sz val="10"/>
        <color theme="1"/>
        <rFont val="Calibri"/>
        <family val="2"/>
        <scheme val="minor"/>
      </rPr>
      <t xml:space="preserve"> EER = ( 10.8 − ( 0.213 × [Capacity in kBTU/h] ) ) * 1.10 </t>
    </r>
  </si>
  <si>
    <t>Missing Input</t>
  </si>
  <si>
    <t>&gt;= 600 tons</t>
  </si>
  <si>
    <t>300 &lt;= tons &lt; 600</t>
  </si>
  <si>
    <t>400 &lt;= tons &lt; 600</t>
  </si>
  <si>
    <r>
      <t xml:space="preserve">Path A
</t>
    </r>
    <r>
      <rPr>
        <i/>
        <sz val="10"/>
        <color theme="1"/>
        <rFont val="Calibri"/>
        <family val="2"/>
        <scheme val="minor"/>
      </rPr>
      <t>Units: kW/ton</t>
    </r>
  </si>
  <si>
    <r>
      <t xml:space="preserve">Path B
</t>
    </r>
    <r>
      <rPr>
        <i/>
        <sz val="10"/>
        <color theme="1"/>
        <rFont val="Calibri"/>
        <family val="2"/>
        <scheme val="minor"/>
      </rPr>
      <t>Units: kW/ton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</si>
</sst>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44" formatCode="_(&quot;$&quot;* #,##0.00_);_(&quot;$&quot;* \(#,##0.00\);_(&quot;$&quot;* &quot;-&quot;??_);_(@_)"/>
    <numFmt numFmtId="43" formatCode="_(* #,##0.00_);_(* \(#,##0.00\);_(* &quot;-&quot;??_);_(@_)"/>
    <numFmt numFmtId="164" formatCode="&quot;$&quot;#,##0"/>
    <numFmt numFmtId="165" formatCode="0.000"/>
    <numFmt numFmtId="166" formatCode="&quot;$&quot;0\ &quot;per ton&quot;"/>
    <numFmt numFmtId="167" formatCode="&quot;&lt;=&quot;\ 0.000\ &quot;FL&quot;"/>
    <numFmt numFmtId="168" formatCode="&quot;&lt;=&quot;\ 0.000\ &quot;IPLV&quot;"/>
    <numFmt numFmtId="169" formatCode="&quot;&gt;=&quot;\ 0.0\ &quot;FL&quot;"/>
    <numFmt numFmtId="170" formatCode="&quot;&gt;=&quot;\ 0.0\ &quot;IPLV&quot;"/>
    <numFmt numFmtId="171" formatCode="0.0000"/>
    <numFmt numFmtId="172" formatCode="&quot;$&quot;#,##0.00"/>
    <numFmt numFmtId="173" formatCode="0.0\ &quot;SEER2&quot;"/>
    <numFmt numFmtId="174" formatCode="0.0\ &quot;IEER&quot;"/>
    <numFmt numFmtId="175" formatCode="0.0\ &quot;SEER&quot;"/>
    <numFmt numFmtId="176" formatCode="0.0"/>
    <numFmt numFmtId="177" formatCode="General\ &quot;EER&quot;"/>
    <numFmt numFmtId="178" formatCode="#,##0.000"/>
    <numFmt numFmtId="179" formatCode="General\ &quot;hours&quot;"/>
    <numFmt numFmtId="180" formatCode="General\ &quot;SEER&quot;"/>
    <numFmt numFmtId="181" formatCode="General\ &quot;IEER&quot;"/>
    <numFmt numFmtId="182" formatCode="0.000\ &quot;kW/ton&quot;"/>
    <numFmt numFmtId="183" formatCode="_(* #,##0.000_);_(* \(#,##0.000\);_(* &quot;-&quot;??_);_(@_)"/>
    <numFmt numFmtId="184" formatCode="0.0\ &quot;EER&quot;"/>
    <numFmt numFmtId="185" formatCode="General\ &quot;SEER2&quot;"/>
    <numFmt numFmtId="186" formatCode="0.0\ &quot;CEER&quot;"/>
  </numFmts>
  <fonts count="60"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color rgb="FF000000"/>
      <name val="Calibri"/>
      <family val="2"/>
      <scheme val="minor"/>
    </font>
    <font>
      <sz val="11"/>
      <color theme="1"/>
      <name val="Calibri"/>
      <family val="2"/>
    </font>
    <font>
      <sz val="9.35"/>
      <color theme="1"/>
      <name val="Calibri"/>
      <family val="2"/>
    </font>
    <font>
      <sz val="11"/>
      <name val="Calibri"/>
      <family val="2"/>
      <scheme val="minor"/>
    </font>
    <font>
      <u/>
      <sz val="11"/>
      <color theme="1"/>
      <name val="Calibri"/>
      <family val="2"/>
      <scheme val="minor"/>
    </font>
    <font>
      <b/>
      <u/>
      <sz val="11"/>
      <color theme="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sz val="6"/>
      <color theme="1"/>
      <name val="Calibri"/>
      <family val="2"/>
      <scheme val="minor"/>
    </font>
    <font>
      <sz val="12"/>
      <color rgb="FFFF0000"/>
      <name val="Calibri"/>
      <family val="2"/>
      <scheme val="minor"/>
    </font>
    <font>
      <sz val="9"/>
      <color theme="1"/>
      <name val="Calibri"/>
      <family val="2"/>
      <scheme val="minor"/>
    </font>
    <font>
      <i/>
      <sz val="8"/>
      <color theme="1"/>
      <name val="Calibri"/>
      <family val="2"/>
      <scheme val="minor"/>
    </font>
    <font>
      <b/>
      <sz val="9"/>
      <color theme="1"/>
      <name val="Calibri"/>
      <family val="2"/>
      <scheme val="minor"/>
    </font>
    <font>
      <sz val="8"/>
      <color theme="1"/>
      <name val="Calibri"/>
      <family val="2"/>
      <scheme val="minor"/>
    </font>
    <font>
      <b/>
      <sz val="18"/>
      <color theme="0"/>
      <name val="Calibri"/>
      <family val="2"/>
      <scheme val="minor"/>
    </font>
    <font>
      <b/>
      <sz val="8"/>
      <color theme="1"/>
      <name val="Calibri"/>
      <family val="2"/>
      <scheme val="minor"/>
    </font>
    <font>
      <i/>
      <sz val="11"/>
      <color rgb="FFC00000"/>
      <name val="Calibri"/>
      <family val="2"/>
      <scheme val="minor"/>
    </font>
    <font>
      <b/>
      <i/>
      <sz val="8"/>
      <color theme="1"/>
      <name val="Calibri"/>
      <family val="2"/>
      <scheme val="minor"/>
    </font>
    <font>
      <i/>
      <sz val="8"/>
      <color theme="1"/>
      <name val="Calibri"/>
      <family val="2"/>
    </font>
    <font>
      <b/>
      <i/>
      <vertAlign val="superscript"/>
      <sz val="8"/>
      <color theme="1"/>
      <name val="Calibri"/>
      <family val="2"/>
      <scheme val="minor"/>
    </font>
    <font>
      <sz val="9"/>
      <color indexed="81"/>
      <name val="Tahoma"/>
      <family val="2"/>
    </font>
    <font>
      <b/>
      <sz val="14"/>
      <color rgb="FF3F3F3F"/>
      <name val="Calibri"/>
      <family val="2"/>
      <scheme val="minor"/>
    </font>
    <font>
      <sz val="8"/>
      <color rgb="FF3F3F3F"/>
      <name val="Calibri"/>
      <family val="2"/>
      <scheme val="minor"/>
    </font>
    <font>
      <b/>
      <sz val="10"/>
      <color theme="1"/>
      <name val="Calibri"/>
      <family val="2"/>
      <scheme val="minor"/>
    </font>
    <font>
      <vertAlign val="superscript"/>
      <sz val="11"/>
      <color theme="1"/>
      <name val="Calibri"/>
      <family val="2"/>
      <scheme val="minor"/>
    </font>
    <font>
      <b/>
      <sz val="13"/>
      <color rgb="FF3F3F3F"/>
      <name val="Calibri"/>
      <family val="2"/>
      <scheme val="minor"/>
    </font>
    <font>
      <sz val="9"/>
      <color rgb="FF000000"/>
      <name val="Calibri"/>
      <family val="2"/>
    </font>
    <font>
      <sz val="9"/>
      <color rgb="FF000000"/>
      <name val="Calibri"/>
      <family val="2"/>
      <scheme val="minor"/>
    </font>
    <font>
      <b/>
      <sz val="12"/>
      <name val="Calibri"/>
      <family val="2"/>
      <scheme val="minor"/>
    </font>
    <font>
      <u/>
      <sz val="11"/>
      <color theme="10"/>
      <name val="Calibri"/>
      <family val="2"/>
      <scheme val="minor"/>
    </font>
    <font>
      <sz val="10"/>
      <name val="Calibri"/>
      <family val="2"/>
      <scheme val="minor"/>
    </font>
    <font>
      <b/>
      <sz val="11"/>
      <color rgb="FFFFFFFF"/>
      <name val="Calibri"/>
      <family val="2"/>
      <scheme val="minor"/>
    </font>
    <font>
      <b/>
      <sz val="11"/>
      <name val="Calibri"/>
      <family val="2"/>
      <scheme val="minor"/>
    </font>
    <font>
      <b/>
      <i/>
      <sz val="11"/>
      <name val="Calibri"/>
      <family val="2"/>
      <scheme val="minor"/>
    </font>
    <font>
      <b/>
      <i/>
      <sz val="10"/>
      <color theme="1"/>
      <name val="Calibri"/>
      <family val="2"/>
      <scheme val="minor"/>
    </font>
    <font>
      <i/>
      <sz val="10"/>
      <color theme="1"/>
      <name val="Calibri"/>
      <family val="2"/>
    </font>
    <font>
      <b/>
      <i/>
      <vertAlign val="superscript"/>
      <sz val="10"/>
      <color theme="1"/>
      <name val="Calibri"/>
      <family val="2"/>
      <scheme val="minor"/>
    </font>
    <font>
      <i/>
      <sz val="10"/>
      <name val="Calibri"/>
      <family val="2"/>
      <scheme val="minor"/>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CE4"/>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1"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0" applyNumberFormat="0" applyAlignment="0" applyProtection="0"/>
    <xf numFmtId="0" fontId="5" fillId="28" borderId="21" applyNumberFormat="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22" applyNumberFormat="0" applyFill="0" applyAlignment="0" applyProtection="0"/>
    <xf numFmtId="0" fontId="9" fillId="0" borderId="23" applyNumberFormat="0" applyFill="0" applyAlignment="0" applyProtection="0"/>
    <xf numFmtId="0" fontId="10" fillId="0" borderId="24" applyNumberFormat="0" applyFill="0" applyAlignment="0" applyProtection="0"/>
    <xf numFmtId="0" fontId="10" fillId="0" borderId="0" applyNumberFormat="0" applyFill="0" applyBorder="0" applyAlignment="0" applyProtection="0"/>
    <xf numFmtId="0" fontId="11" fillId="30" borderId="20" applyNumberFormat="0" applyAlignment="0" applyProtection="0"/>
    <xf numFmtId="0" fontId="12" fillId="0" borderId="25" applyNumberFormat="0" applyFill="0" applyAlignment="0" applyProtection="0"/>
    <xf numFmtId="0" fontId="13" fillId="31" borderId="0" applyNumberFormat="0" applyBorder="0" applyAlignment="0" applyProtection="0"/>
    <xf numFmtId="0" fontId="1" fillId="32" borderId="26" applyNumberFormat="0" applyFont="0" applyAlignment="0" applyProtection="0"/>
    <xf numFmtId="0" fontId="14" fillId="27" borderId="27" applyNumberFormat="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cellStyleXfs>
  <cellXfs count="640">
    <xf numFmtId="0" fontId="0" fillId="0" borderId="0" xfId="0"/>
    <xf numFmtId="0" fontId="0" fillId="0" borderId="0" xfId="0" applyProtection="1"/>
    <xf numFmtId="0" fontId="0" fillId="0" borderId="0" xfId="0" applyBorder="1" applyProtection="1"/>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xf>
    <xf numFmtId="164" fontId="16" fillId="0" borderId="0" xfId="28" applyNumberFormat="1" applyFont="1" applyFill="1" applyBorder="1" applyAlignment="1" applyProtection="1">
      <alignment horizontal="center"/>
    </xf>
    <xf numFmtId="164" fontId="16" fillId="0" borderId="0" xfId="28" applyNumberFormat="1" applyFont="1" applyBorder="1" applyAlignment="1" applyProtection="1">
      <alignment horizontal="center"/>
    </xf>
    <xf numFmtId="0" fontId="0" fillId="0" borderId="0" xfId="0" applyAlignment="1" applyProtection="1">
      <alignment horizontal="center" vertical="center"/>
    </xf>
    <xf numFmtId="165" fontId="0" fillId="0" borderId="0" xfId="0" applyNumberFormat="1" applyBorder="1" applyAlignment="1" applyProtection="1">
      <alignment horizontal="center" vertical="center"/>
    </xf>
    <xf numFmtId="0" fontId="21" fillId="0" borderId="0" xfId="0" applyFont="1" applyAlignment="1" applyProtection="1">
      <alignment vertical="top" wrapText="1"/>
    </xf>
    <xf numFmtId="0" fontId="0" fillId="0" borderId="0" xfId="0" applyAlignment="1" applyProtection="1">
      <alignment vertical="center"/>
    </xf>
    <xf numFmtId="0" fontId="0" fillId="0" borderId="0" xfId="0" applyAlignment="1" applyProtection="1"/>
    <xf numFmtId="0" fontId="0" fillId="0" borderId="0" xfId="0" applyFill="1" applyBorder="1" applyAlignment="1" applyProtection="1">
      <alignment horizontal="center" vertical="center"/>
    </xf>
    <xf numFmtId="165" fontId="0" fillId="0" borderId="0" xfId="0" applyNumberFormat="1" applyAlignment="1" applyProtection="1">
      <alignment horizontal="center" vertical="center"/>
    </xf>
    <xf numFmtId="0" fontId="0" fillId="0" borderId="3"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22" fillId="0" borderId="36"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34" xfId="0" applyFont="1" applyBorder="1" applyAlignment="1" applyProtection="1">
      <alignment horizontal="center" vertical="center"/>
    </xf>
    <xf numFmtId="0" fontId="22" fillId="0" borderId="35" xfId="0" applyFont="1" applyBorder="1" applyAlignment="1" applyProtection="1">
      <alignment horizontal="center" vertical="center"/>
    </xf>
    <xf numFmtId="0" fontId="0" fillId="0" borderId="37"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16" fillId="0" borderId="0" xfId="0" applyFont="1" applyBorder="1" applyAlignment="1" applyProtection="1">
      <alignment horizontal="center" vertical="center"/>
    </xf>
    <xf numFmtId="0" fontId="0" fillId="0" borderId="0" xfId="0" applyAlignment="1" applyProtection="1">
      <alignment horizontal="left" vertical="center"/>
    </xf>
    <xf numFmtId="0" fontId="0" fillId="0" borderId="0" xfId="0" applyBorder="1" applyAlignment="1" applyProtection="1">
      <alignment horizontal="center" vertical="top" wrapText="1"/>
    </xf>
    <xf numFmtId="49" fontId="0" fillId="0" borderId="0" xfId="0" applyNumberFormat="1" applyBorder="1" applyAlignment="1" applyProtection="1">
      <alignment horizontal="left" vertical="center"/>
    </xf>
    <xf numFmtId="168" fontId="0" fillId="0" borderId="0" xfId="0" applyNumberFormat="1" applyBorder="1" applyAlignment="1" applyProtection="1">
      <alignment horizontal="left" vertical="center"/>
    </xf>
    <xf numFmtId="0" fontId="0" fillId="0" borderId="0" xfId="0" applyFill="1" applyBorder="1" applyProtection="1"/>
    <xf numFmtId="0" fontId="20" fillId="0" borderId="0" xfId="0" applyFont="1" applyProtection="1"/>
    <xf numFmtId="0" fontId="0" fillId="0" borderId="0" xfId="0" applyAlignment="1" applyProtection="1">
      <alignment horizontal="left" indent="2"/>
    </xf>
    <xf numFmtId="0" fontId="16" fillId="0" borderId="1" xfId="0" applyFont="1" applyBorder="1"/>
    <xf numFmtId="0" fontId="0" fillId="0" borderId="1" xfId="0" applyBorder="1"/>
    <xf numFmtId="0" fontId="0" fillId="0" borderId="39" xfId="0" applyBorder="1" applyAlignment="1" applyProtection="1">
      <alignment horizontal="center" vertical="center"/>
    </xf>
    <xf numFmtId="0" fontId="0" fillId="0" borderId="41" xfId="0" applyBorder="1" applyAlignment="1" applyProtection="1">
      <alignment horizontal="center" vertical="center"/>
    </xf>
    <xf numFmtId="0" fontId="25" fillId="0" borderId="0" xfId="0" applyFont="1" applyProtection="1"/>
    <xf numFmtId="165" fontId="0" fillId="0" borderId="37" xfId="0" applyNumberFormat="1" applyBorder="1" applyAlignment="1" applyProtection="1">
      <alignment horizontal="right" vertical="center"/>
    </xf>
    <xf numFmtId="165" fontId="0" fillId="0" borderId="38" xfId="0" applyNumberFormat="1" applyBorder="1" applyAlignment="1" applyProtection="1">
      <alignment horizontal="right" vertical="center"/>
    </xf>
    <xf numFmtId="0" fontId="16" fillId="0" borderId="0" xfId="0" applyFont="1" applyFill="1" applyBorder="1" applyAlignment="1" applyProtection="1">
      <alignment horizontal="center" vertical="center"/>
    </xf>
    <xf numFmtId="164" fontId="0" fillId="0" borderId="0" xfId="0" applyNumberFormat="1" applyFill="1" applyBorder="1" applyAlignment="1" applyProtection="1">
      <alignment horizontal="center"/>
    </xf>
    <xf numFmtId="164" fontId="16" fillId="0" borderId="0" xfId="0" applyNumberFormat="1" applyFont="1" applyFill="1" applyBorder="1" applyAlignment="1" applyProtection="1">
      <alignment horizontal="center"/>
    </xf>
    <xf numFmtId="0" fontId="16" fillId="0" borderId="1" xfId="0" applyFont="1" applyBorder="1" applyAlignment="1">
      <alignment horizontal="center"/>
    </xf>
    <xf numFmtId="0" fontId="0" fillId="0" borderId="0" xfId="0" applyBorder="1" applyAlignment="1" applyProtection="1">
      <alignment horizontal="left" vertical="center" wrapText="1"/>
    </xf>
    <xf numFmtId="0" fontId="24" fillId="36" borderId="1" xfId="0" applyFont="1" applyFill="1" applyBorder="1" applyAlignment="1" applyProtection="1">
      <alignment horizontal="center" vertical="center"/>
      <protection locked="0"/>
    </xf>
    <xf numFmtId="0" fontId="0" fillId="0" borderId="0" xfId="0" applyBorder="1" applyAlignment="1" applyProtection="1">
      <alignment horizontal="right"/>
    </xf>
    <xf numFmtId="0" fontId="0" fillId="0" borderId="0" xfId="0" applyAlignment="1" applyProtection="1">
      <alignment horizontal="right"/>
    </xf>
    <xf numFmtId="0" fontId="0" fillId="39" borderId="0" xfId="0" applyFill="1" applyAlignment="1">
      <alignment horizontal="center" vertical="center"/>
    </xf>
    <xf numFmtId="0" fontId="16" fillId="39" borderId="0" xfId="0" applyFont="1" applyFill="1" applyAlignment="1">
      <alignment horizontal="right" vertical="center"/>
    </xf>
    <xf numFmtId="0" fontId="0" fillId="36" borderId="1" xfId="0" applyFill="1" applyBorder="1" applyAlignment="1" applyProtection="1">
      <alignment horizontal="center" vertical="center"/>
      <protection locked="0"/>
    </xf>
    <xf numFmtId="0" fontId="0" fillId="39" borderId="0" xfId="0" applyFill="1"/>
    <xf numFmtId="0" fontId="16" fillId="0" borderId="0" xfId="0" applyFont="1" applyAlignment="1">
      <alignment vertical="top" wrapText="1"/>
    </xf>
    <xf numFmtId="0" fontId="16" fillId="0" borderId="0" xfId="0" applyFont="1" applyAlignment="1">
      <alignment vertical="top"/>
    </xf>
    <xf numFmtId="0" fontId="0" fillId="0" borderId="0" xfId="0" applyAlignment="1">
      <alignment horizontal="left" vertical="center"/>
    </xf>
    <xf numFmtId="0" fontId="24" fillId="0" borderId="1" xfId="0" applyFont="1" applyBorder="1"/>
    <xf numFmtId="3" fontId="24" fillId="0" borderId="1" xfId="0" applyNumberFormat="1" applyFont="1" applyBorder="1" applyAlignment="1">
      <alignment vertical="center" wrapText="1"/>
    </xf>
    <xf numFmtId="4" fontId="24" fillId="0" borderId="1" xfId="0" applyNumberFormat="1" applyFont="1" applyBorder="1" applyAlignment="1">
      <alignment vertical="center" wrapText="1"/>
    </xf>
    <xf numFmtId="0" fontId="0" fillId="0" borderId="16" xfId="0" applyBorder="1"/>
    <xf numFmtId="0" fontId="0" fillId="0" borderId="17" xfId="0" applyBorder="1"/>
    <xf numFmtId="0" fontId="0" fillId="39" borderId="16" xfId="0" applyFill="1" applyBorder="1"/>
    <xf numFmtId="0" fontId="26" fillId="39" borderId="0" xfId="0" applyFont="1" applyFill="1"/>
    <xf numFmtId="0" fontId="16" fillId="39" borderId="0" xfId="0" applyFont="1" applyFill="1"/>
    <xf numFmtId="0" fontId="26" fillId="39" borderId="0" xfId="0" applyFont="1" applyFill="1" applyAlignment="1">
      <alignment horizontal="left"/>
    </xf>
    <xf numFmtId="0" fontId="0" fillId="39" borderId="17" xfId="0" applyFill="1" applyBorder="1"/>
    <xf numFmtId="0" fontId="0" fillId="34" borderId="1" xfId="0" applyFill="1" applyBorder="1"/>
    <xf numFmtId="0" fontId="0" fillId="44" borderId="1" xfId="0" applyFill="1" applyBorder="1" applyAlignment="1" applyProtection="1">
      <alignment horizontal="center"/>
      <protection locked="0"/>
    </xf>
    <xf numFmtId="0" fontId="16" fillId="39" borderId="0" xfId="0" applyFont="1" applyFill="1" applyAlignment="1">
      <alignment horizontal="right"/>
    </xf>
    <xf numFmtId="176" fontId="0" fillId="39" borderId="1" xfId="0" applyNumberFormat="1" applyFill="1" applyBorder="1" applyAlignment="1">
      <alignment horizontal="center"/>
    </xf>
    <xf numFmtId="177" fontId="0" fillId="39" borderId="0" xfId="0" applyNumberFormat="1" applyFill="1" applyAlignment="1">
      <alignment horizontal="left"/>
    </xf>
    <xf numFmtId="0" fontId="0" fillId="39" borderId="1" xfId="0" applyFill="1" applyBorder="1"/>
    <xf numFmtId="3" fontId="0" fillId="44" borderId="1" xfId="0" applyNumberFormat="1" applyFill="1" applyBorder="1" applyAlignment="1" applyProtection="1">
      <alignment horizontal="center"/>
      <protection locked="0"/>
    </xf>
    <xf numFmtId="0" fontId="0" fillId="39" borderId="0" xfId="0" applyFill="1" applyAlignment="1">
      <alignment horizontal="left"/>
    </xf>
    <xf numFmtId="178" fontId="0" fillId="39" borderId="1" xfId="43" applyNumberFormat="1" applyFont="1" applyFill="1" applyBorder="1" applyAlignment="1" applyProtection="1">
      <alignment horizontal="center"/>
    </xf>
    <xf numFmtId="176" fontId="0" fillId="44" borderId="1" xfId="0" applyNumberFormat="1" applyFill="1" applyBorder="1" applyAlignment="1" applyProtection="1">
      <alignment horizontal="center"/>
      <protection locked="0"/>
    </xf>
    <xf numFmtId="2" fontId="0" fillId="39" borderId="1" xfId="0" applyNumberFormat="1" applyFill="1" applyBorder="1" applyAlignment="1">
      <alignment horizontal="center"/>
    </xf>
    <xf numFmtId="179" fontId="0" fillId="39" borderId="1" xfId="0" applyNumberFormat="1" applyFill="1" applyBorder="1" applyAlignment="1">
      <alignment horizontal="center"/>
    </xf>
    <xf numFmtId="0" fontId="38" fillId="39" borderId="0" xfId="0" applyFont="1" applyFill="1" applyAlignment="1">
      <alignment horizontal="left"/>
    </xf>
    <xf numFmtId="165" fontId="0" fillId="39" borderId="1" xfId="0" applyNumberFormat="1" applyFill="1" applyBorder="1" applyAlignment="1">
      <alignment horizontal="center"/>
    </xf>
    <xf numFmtId="2" fontId="0" fillId="44" borderId="1" xfId="0" applyNumberFormat="1" applyFill="1" applyBorder="1" applyAlignment="1" applyProtection="1">
      <alignment horizontal="center"/>
      <protection locked="0"/>
    </xf>
    <xf numFmtId="4" fontId="0" fillId="39" borderId="1" xfId="0" applyNumberFormat="1" applyFill="1" applyBorder="1" applyAlignment="1">
      <alignment horizontal="center"/>
    </xf>
    <xf numFmtId="179" fontId="0" fillId="44" borderId="1" xfId="0" applyNumberFormat="1" applyFill="1" applyBorder="1" applyAlignment="1" applyProtection="1">
      <alignment horizontal="center"/>
      <protection locked="0"/>
    </xf>
    <xf numFmtId="0" fontId="24" fillId="0" borderId="0" xfId="0" applyFont="1"/>
    <xf numFmtId="0" fontId="0" fillId="39" borderId="69" xfId="0" applyFill="1" applyBorder="1"/>
    <xf numFmtId="0" fontId="0" fillId="39" borderId="70" xfId="0" applyFill="1" applyBorder="1"/>
    <xf numFmtId="0" fontId="0" fillId="39" borderId="71" xfId="0" applyFill="1" applyBorder="1"/>
    <xf numFmtId="0" fontId="0" fillId="39" borderId="72" xfId="0" applyFill="1" applyBorder="1"/>
    <xf numFmtId="0" fontId="0" fillId="39" borderId="73" xfId="0" applyFill="1" applyBorder="1"/>
    <xf numFmtId="0" fontId="0" fillId="39" borderId="73" xfId="0" applyFill="1" applyBorder="1" applyAlignment="1">
      <alignment horizontal="center" vertical="center"/>
    </xf>
    <xf numFmtId="0" fontId="0" fillId="39" borderId="74" xfId="0" applyFill="1" applyBorder="1" applyAlignment="1">
      <alignment horizontal="center" vertical="center"/>
    </xf>
    <xf numFmtId="0" fontId="0" fillId="39" borderId="65" xfId="0" applyFill="1" applyBorder="1" applyAlignment="1">
      <alignment horizontal="center" vertical="center"/>
    </xf>
    <xf numFmtId="0" fontId="0" fillId="39" borderId="32" xfId="0" applyFill="1" applyBorder="1" applyAlignment="1">
      <alignment horizontal="center" vertical="center"/>
    </xf>
    <xf numFmtId="0" fontId="0" fillId="39" borderId="34" xfId="0" applyFill="1" applyBorder="1" applyAlignment="1">
      <alignment horizontal="center" vertical="center"/>
    </xf>
    <xf numFmtId="0" fontId="0" fillId="39" borderId="17" xfId="0" applyFill="1" applyBorder="1" applyAlignment="1">
      <alignment horizontal="center" vertical="center"/>
    </xf>
    <xf numFmtId="177" fontId="0" fillId="39" borderId="8" xfId="0" applyNumberFormat="1" applyFill="1" applyBorder="1" applyAlignment="1">
      <alignment horizontal="center"/>
    </xf>
    <xf numFmtId="177" fontId="0" fillId="39" borderId="34" xfId="0" applyNumberFormat="1" applyFill="1" applyBorder="1" applyAlignment="1">
      <alignment horizontal="center"/>
    </xf>
    <xf numFmtId="177" fontId="0" fillId="39" borderId="32" xfId="0" applyNumberFormat="1" applyFill="1" applyBorder="1" applyAlignment="1">
      <alignment horizontal="center"/>
    </xf>
    <xf numFmtId="177" fontId="0" fillId="39" borderId="10" xfId="0" applyNumberFormat="1" applyFill="1" applyBorder="1" applyAlignment="1">
      <alignment horizontal="center"/>
    </xf>
    <xf numFmtId="177" fontId="0" fillId="39" borderId="73" xfId="0" applyNumberFormat="1" applyFill="1" applyBorder="1" applyAlignment="1">
      <alignment horizontal="center"/>
    </xf>
    <xf numFmtId="177" fontId="0" fillId="39" borderId="0" xfId="0" applyNumberFormat="1" applyFill="1" applyAlignment="1">
      <alignment horizontal="center"/>
    </xf>
    <xf numFmtId="180" fontId="0" fillId="39" borderId="73" xfId="0" applyNumberFormat="1" applyFill="1" applyBorder="1" applyAlignment="1">
      <alignment horizontal="center" vertical="center"/>
    </xf>
    <xf numFmtId="180" fontId="0" fillId="39" borderId="17" xfId="0" applyNumberFormat="1" applyFill="1" applyBorder="1" applyAlignment="1">
      <alignment horizontal="center" vertical="center"/>
    </xf>
    <xf numFmtId="181" fontId="24" fillId="39" borderId="1" xfId="0" applyNumberFormat="1" applyFont="1" applyFill="1" applyBorder="1" applyAlignment="1">
      <alignment horizontal="left" vertical="center"/>
    </xf>
    <xf numFmtId="181" fontId="24" fillId="39" borderId="1" xfId="0" applyNumberFormat="1" applyFont="1" applyFill="1" applyBorder="1" applyAlignment="1">
      <alignment horizontal="right" vertical="center"/>
    </xf>
    <xf numFmtId="180" fontId="0" fillId="39" borderId="12" xfId="0" applyNumberFormat="1" applyFill="1" applyBorder="1" applyAlignment="1">
      <alignment horizontal="center"/>
    </xf>
    <xf numFmtId="180" fontId="0" fillId="39" borderId="67" xfId="0" applyNumberFormat="1" applyFill="1" applyBorder="1" applyAlignment="1">
      <alignment horizontal="center"/>
    </xf>
    <xf numFmtId="180" fontId="0" fillId="39" borderId="66" xfId="0" applyNumberFormat="1" applyFill="1" applyBorder="1" applyAlignment="1">
      <alignment horizontal="center"/>
    </xf>
    <xf numFmtId="180" fontId="0" fillId="39" borderId="14" xfId="0" applyNumberFormat="1" applyFill="1" applyBorder="1" applyAlignment="1">
      <alignment horizontal="center"/>
    </xf>
    <xf numFmtId="180" fontId="0" fillId="39" borderId="73" xfId="0" applyNumberFormat="1" applyFill="1" applyBorder="1" applyAlignment="1">
      <alignment horizontal="center"/>
    </xf>
    <xf numFmtId="180" fontId="0" fillId="39" borderId="0" xfId="0" applyNumberFormat="1" applyFill="1" applyAlignment="1">
      <alignment horizontal="center"/>
    </xf>
    <xf numFmtId="177" fontId="0" fillId="39" borderId="1" xfId="0" applyNumberFormat="1" applyFill="1" applyBorder="1" applyAlignment="1">
      <alignment horizontal="left"/>
    </xf>
    <xf numFmtId="0" fontId="0" fillId="39" borderId="1" xfId="0" applyFill="1" applyBorder="1" applyAlignment="1">
      <alignment horizontal="right"/>
    </xf>
    <xf numFmtId="0" fontId="0" fillId="0" borderId="1" xfId="0" applyBorder="1" applyAlignment="1">
      <alignment horizontal="right"/>
    </xf>
    <xf numFmtId="177" fontId="0" fillId="39" borderId="73" xfId="0" applyNumberFormat="1" applyFill="1" applyBorder="1" applyAlignment="1">
      <alignment horizontal="center" vertical="center"/>
    </xf>
    <xf numFmtId="177" fontId="0" fillId="39" borderId="17" xfId="0" applyNumberFormat="1" applyFill="1" applyBorder="1" applyAlignment="1">
      <alignment horizontal="center" vertical="center"/>
    </xf>
    <xf numFmtId="181" fontId="24" fillId="39" borderId="73" xfId="0" applyNumberFormat="1" applyFont="1" applyFill="1" applyBorder="1" applyAlignment="1">
      <alignment horizontal="center" vertical="center"/>
    </xf>
    <xf numFmtId="181" fontId="24" fillId="39" borderId="0" xfId="0" applyNumberFormat="1" applyFont="1" applyFill="1" applyAlignment="1">
      <alignment horizontal="center" vertical="center"/>
    </xf>
    <xf numFmtId="0" fontId="24" fillId="39" borderId="1" xfId="0" applyFont="1" applyFill="1" applyBorder="1" applyAlignment="1">
      <alignment horizontal="right" vertical="center"/>
    </xf>
    <xf numFmtId="177" fontId="0" fillId="39" borderId="17" xfId="0" applyNumberFormat="1" applyFill="1" applyBorder="1" applyAlignment="1">
      <alignment horizontal="center"/>
    </xf>
    <xf numFmtId="0" fontId="0" fillId="0" borderId="0" xfId="0" applyAlignment="1">
      <alignment horizontal="left"/>
    </xf>
    <xf numFmtId="182" fontId="0" fillId="0" borderId="0" xfId="0" applyNumberFormat="1" applyAlignment="1">
      <alignment horizontal="right"/>
    </xf>
    <xf numFmtId="181" fontId="24" fillId="39" borderId="17" xfId="0" applyNumberFormat="1" applyFont="1" applyFill="1" applyBorder="1" applyAlignment="1">
      <alignment horizontal="center" vertical="center"/>
    </xf>
    <xf numFmtId="183" fontId="0" fillId="0" borderId="0" xfId="43" applyNumberFormat="1" applyFont="1" applyBorder="1" applyAlignment="1" applyProtection="1">
      <alignment horizontal="right"/>
    </xf>
    <xf numFmtId="43" fontId="0" fillId="0" borderId="0" xfId="43" applyFont="1" applyBorder="1" applyAlignment="1" applyProtection="1">
      <alignment horizontal="right"/>
    </xf>
    <xf numFmtId="0" fontId="0" fillId="0" borderId="72" xfId="0" applyBorder="1"/>
    <xf numFmtId="0" fontId="0" fillId="0" borderId="73" xfId="0" applyBorder="1"/>
    <xf numFmtId="0" fontId="0" fillId="0" borderId="32" xfId="0" applyBorder="1"/>
    <xf numFmtId="0" fontId="0" fillId="0" borderId="34" xfId="0" applyBorder="1"/>
    <xf numFmtId="0" fontId="0" fillId="0" borderId="74" xfId="0" applyBorder="1" applyAlignment="1">
      <alignment horizontal="center"/>
    </xf>
    <xf numFmtId="0" fontId="0" fillId="0" borderId="65" xfId="0" applyBorder="1" applyAlignment="1">
      <alignment horizontal="center"/>
    </xf>
    <xf numFmtId="0" fontId="0" fillId="0" borderId="29" xfId="0" applyBorder="1"/>
    <xf numFmtId="184" fontId="0" fillId="0" borderId="45" xfId="0" applyNumberFormat="1" applyBorder="1"/>
    <xf numFmtId="184" fontId="0" fillId="0" borderId="47" xfId="0" applyNumberFormat="1" applyBorder="1"/>
    <xf numFmtId="184" fontId="0" fillId="0" borderId="73" xfId="0" applyNumberFormat="1" applyBorder="1"/>
    <xf numFmtId="184" fontId="0" fillId="0" borderId="17" xfId="0" applyNumberFormat="1" applyBorder="1"/>
    <xf numFmtId="184" fontId="0" fillId="0" borderId="0" xfId="0" applyNumberFormat="1"/>
    <xf numFmtId="0" fontId="0" fillId="0" borderId="49" xfId="0" applyBorder="1" applyAlignment="1">
      <alignment horizontal="center"/>
    </xf>
    <xf numFmtId="184" fontId="0" fillId="0" borderId="42" xfId="43" applyNumberFormat="1" applyFont="1" applyFill="1" applyBorder="1" applyProtection="1"/>
    <xf numFmtId="184" fontId="0" fillId="0" borderId="43" xfId="43" applyNumberFormat="1" applyFont="1" applyFill="1" applyBorder="1" applyAlignment="1" applyProtection="1">
      <alignment horizontal="right"/>
    </xf>
    <xf numFmtId="184" fontId="0" fillId="0" borderId="43" xfId="43" applyNumberFormat="1" applyFont="1" applyFill="1" applyBorder="1" applyProtection="1"/>
    <xf numFmtId="184" fontId="0" fillId="39" borderId="1" xfId="0" applyNumberFormat="1" applyFill="1" applyBorder="1" applyAlignment="1">
      <alignment horizontal="right"/>
    </xf>
    <xf numFmtId="0" fontId="0" fillId="0" borderId="54" xfId="0" applyBorder="1" applyAlignment="1">
      <alignment horizontal="center"/>
    </xf>
    <xf numFmtId="184" fontId="24" fillId="0" borderId="37" xfId="43" applyNumberFormat="1" applyFont="1" applyFill="1" applyBorder="1" applyAlignment="1" applyProtection="1">
      <alignment horizontal="right"/>
    </xf>
    <xf numFmtId="184" fontId="24" fillId="0" borderId="38" xfId="43" applyNumberFormat="1" applyFont="1" applyFill="1" applyBorder="1" applyAlignment="1" applyProtection="1">
      <alignment horizontal="right"/>
    </xf>
    <xf numFmtId="184" fontId="24" fillId="39" borderId="1" xfId="0" applyNumberFormat="1" applyFont="1" applyFill="1" applyBorder="1" applyAlignment="1">
      <alignment horizontal="right" vertical="center"/>
    </xf>
    <xf numFmtId="0" fontId="0" fillId="0" borderId="55" xfId="0" applyBorder="1" applyAlignment="1">
      <alignment horizontal="center"/>
    </xf>
    <xf numFmtId="184" fontId="0" fillId="0" borderId="39" xfId="43" applyNumberFormat="1" applyFont="1" applyFill="1" applyBorder="1" applyAlignment="1" applyProtection="1">
      <alignment horizontal="right"/>
    </xf>
    <xf numFmtId="184" fontId="0" fillId="0" borderId="41" xfId="43" applyNumberFormat="1" applyFont="1" applyFill="1" applyBorder="1" applyProtection="1"/>
    <xf numFmtId="184" fontId="0" fillId="0" borderId="39" xfId="43" applyNumberFormat="1" applyFont="1" applyFill="1" applyBorder="1" applyProtection="1"/>
    <xf numFmtId="0" fontId="0" fillId="0" borderId="75" xfId="0" applyBorder="1" applyAlignment="1">
      <alignment horizontal="center"/>
    </xf>
    <xf numFmtId="0" fontId="0" fillId="0" borderId="75" xfId="0" applyBorder="1"/>
    <xf numFmtId="184" fontId="0" fillId="0" borderId="56" xfId="0" applyNumberFormat="1" applyBorder="1" applyAlignment="1">
      <alignment horizontal="center"/>
    </xf>
    <xf numFmtId="184" fontId="0" fillId="0" borderId="56" xfId="0" applyNumberFormat="1" applyBorder="1" applyAlignment="1">
      <alignment horizontal="right"/>
    </xf>
    <xf numFmtId="184" fontId="0" fillId="0" borderId="76" xfId="0" applyNumberFormat="1" applyBorder="1" applyAlignment="1">
      <alignment horizontal="center"/>
    </xf>
    <xf numFmtId="184" fontId="0" fillId="0" borderId="76" xfId="0" applyNumberFormat="1" applyBorder="1" applyAlignment="1">
      <alignment horizontal="right"/>
    </xf>
    <xf numFmtId="184" fontId="0" fillId="0" borderId="77" xfId="0" applyNumberFormat="1" applyBorder="1" applyAlignment="1">
      <alignment horizontal="center"/>
    </xf>
    <xf numFmtId="184" fontId="0" fillId="0" borderId="77" xfId="43" applyNumberFormat="1" applyFont="1" applyBorder="1" applyAlignment="1" applyProtection="1">
      <alignment horizontal="right"/>
    </xf>
    <xf numFmtId="0" fontId="0" fillId="0" borderId="78" xfId="0" applyBorder="1"/>
    <xf numFmtId="0" fontId="0" fillId="0" borderId="79" xfId="0" applyBorder="1"/>
    <xf numFmtId="0" fontId="0" fillId="0" borderId="80" xfId="0" applyBorder="1"/>
    <xf numFmtId="0" fontId="0" fillId="0" borderId="59" xfId="0" applyBorder="1"/>
    <xf numFmtId="0" fontId="0" fillId="0" borderId="2" xfId="0" applyBorder="1"/>
    <xf numFmtId="0" fontId="0" fillId="0" borderId="19" xfId="0" applyBorder="1"/>
    <xf numFmtId="184" fontId="24" fillId="0" borderId="0" xfId="43" applyNumberFormat="1" applyFont="1" applyFill="1" applyBorder="1" applyAlignment="1" applyProtection="1">
      <alignment horizontal="center"/>
    </xf>
    <xf numFmtId="184" fontId="0" fillId="0" borderId="1" xfId="43" applyNumberFormat="1" applyFont="1" applyFill="1" applyBorder="1" applyAlignment="1" applyProtection="1">
      <alignment horizontal="center" vertical="center"/>
    </xf>
    <xf numFmtId="172" fontId="0" fillId="0" borderId="0" xfId="28" applyNumberFormat="1" applyFont="1" applyBorder="1" applyAlignment="1" applyProtection="1">
      <alignment horizontal="center"/>
    </xf>
    <xf numFmtId="172" fontId="0" fillId="0" borderId="0" xfId="28" applyNumberFormat="1" applyFont="1" applyFill="1" applyBorder="1" applyAlignment="1" applyProtection="1">
      <alignment horizontal="center"/>
    </xf>
    <xf numFmtId="0" fontId="0" fillId="36" borderId="2" xfId="0" applyFill="1" applyBorder="1" applyAlignment="1" applyProtection="1">
      <alignment horizontal="center" vertical="center" wrapText="1"/>
      <protection locked="0"/>
    </xf>
    <xf numFmtId="0" fontId="24" fillId="0" borderId="0" xfId="0" applyFont="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right" vertical="center" wrapText="1"/>
    </xf>
    <xf numFmtId="0" fontId="0" fillId="0" borderId="0" xfId="0" applyAlignment="1" applyProtection="1">
      <alignment vertical="center" wrapText="1"/>
    </xf>
    <xf numFmtId="0" fontId="5" fillId="37" borderId="1" xfId="0" applyFont="1" applyFill="1" applyBorder="1" applyAlignment="1" applyProtection="1">
      <alignment vertical="center" wrapText="1"/>
    </xf>
    <xf numFmtId="0" fontId="5" fillId="37" borderId="1" xfId="0" applyFont="1" applyFill="1" applyBorder="1" applyAlignment="1" applyProtection="1">
      <alignment horizontal="center" vertical="center" wrapText="1"/>
    </xf>
    <xf numFmtId="44" fontId="0" fillId="0" borderId="1" xfId="0" applyNumberFormat="1" applyBorder="1" applyAlignment="1" applyProtection="1">
      <alignment vertical="center" wrapText="1"/>
    </xf>
    <xf numFmtId="0" fontId="48" fillId="0" borderId="1" xfId="0" applyFont="1" applyBorder="1" applyAlignment="1" applyProtection="1">
      <alignment vertical="center" wrapText="1"/>
    </xf>
    <xf numFmtId="0" fontId="49" fillId="0" borderId="0" xfId="0" applyFont="1" applyAlignment="1" applyProtection="1">
      <alignment horizontal="left" vertical="center" indent="2"/>
    </xf>
    <xf numFmtId="0" fontId="29" fillId="0" borderId="0" xfId="0" applyFont="1" applyAlignment="1" applyProtection="1">
      <alignment horizontal="left" vertical="center" wrapText="1" indent="1"/>
    </xf>
    <xf numFmtId="0" fontId="29" fillId="0" borderId="0" xfId="0" applyFont="1" applyAlignment="1" applyProtection="1">
      <alignment horizontal="left" vertical="center" wrapText="1"/>
    </xf>
    <xf numFmtId="0" fontId="24" fillId="0" borderId="0" xfId="0" applyFont="1" applyAlignment="1" applyProtection="1">
      <alignment horizontal="center" vertical="center"/>
    </xf>
    <xf numFmtId="0" fontId="45" fillId="36" borderId="1" xfId="0" applyFont="1" applyFill="1" applyBorder="1" applyAlignment="1" applyProtection="1">
      <alignment horizontal="center" vertical="center" wrapText="1"/>
      <protection locked="0"/>
    </xf>
    <xf numFmtId="0" fontId="0" fillId="0" borderId="0" xfId="0" applyFill="1" applyProtection="1"/>
    <xf numFmtId="0" fontId="0" fillId="36" borderId="2" xfId="0" applyFill="1" applyBorder="1" applyAlignment="1" applyProtection="1">
      <protection locked="0"/>
    </xf>
    <xf numFmtId="0" fontId="0" fillId="0" borderId="0" xfId="0" applyBorder="1" applyAlignment="1" applyProtection="1"/>
    <xf numFmtId="0" fontId="0" fillId="0" borderId="0" xfId="0" applyFill="1" applyBorder="1" applyAlignment="1" applyProtection="1"/>
    <xf numFmtId="0" fontId="0" fillId="0" borderId="0" xfId="0" applyBorder="1" applyAlignment="1" applyProtection="1">
      <alignment vertical="center" wrapText="1"/>
    </xf>
    <xf numFmtId="0" fontId="0" fillId="36" borderId="5" xfId="0" applyFill="1" applyBorder="1" applyAlignment="1" applyProtection="1">
      <protection locked="0"/>
    </xf>
    <xf numFmtId="0" fontId="0" fillId="33" borderId="48" xfId="0" applyFill="1" applyBorder="1" applyAlignment="1" applyProtection="1"/>
    <xf numFmtId="166" fontId="0" fillId="0" borderId="1" xfId="0" applyNumberFormat="1" applyFont="1" applyBorder="1" applyAlignment="1" applyProtection="1">
      <alignment horizontal="center"/>
    </xf>
    <xf numFmtId="0" fontId="0" fillId="0" borderId="0" xfId="0" applyFill="1" applyBorder="1" applyAlignment="1" applyProtection="1">
      <alignment horizontal="right" vertical="center" wrapText="1"/>
    </xf>
    <xf numFmtId="44" fontId="16" fillId="38" borderId="48" xfId="28" applyFont="1" applyFill="1" applyBorder="1" applyAlignment="1" applyProtection="1">
      <alignment vertical="center"/>
    </xf>
    <xf numFmtId="44" fontId="16" fillId="38" borderId="48" xfId="0" applyNumberFormat="1" applyFont="1" applyFill="1" applyBorder="1" applyAlignment="1" applyProtection="1">
      <alignment horizontal="center"/>
    </xf>
    <xf numFmtId="44" fontId="16" fillId="38" borderId="48" xfId="0" applyNumberFormat="1" applyFont="1" applyFill="1" applyBorder="1" applyAlignment="1" applyProtection="1">
      <alignment vertical="center" wrapText="1"/>
    </xf>
    <xf numFmtId="0" fontId="5" fillId="37" borderId="1" xfId="0" applyFont="1" applyFill="1" applyBorder="1" applyAlignment="1" applyProtection="1"/>
    <xf numFmtId="171" fontId="19" fillId="34" borderId="1" xfId="0" applyNumberFormat="1" applyFont="1" applyFill="1" applyBorder="1" applyAlignment="1" applyProtection="1">
      <alignment horizontal="right" vertical="center"/>
    </xf>
    <xf numFmtId="44" fontId="29" fillId="34" borderId="38" xfId="0" applyNumberFormat="1" applyFont="1" applyFill="1" applyBorder="1" applyAlignment="1" applyProtection="1">
      <alignment horizontal="center"/>
    </xf>
    <xf numFmtId="171" fontId="52" fillId="36" borderId="1" xfId="0" applyNumberFormat="1" applyFont="1" applyFill="1" applyBorder="1" applyAlignment="1" applyProtection="1">
      <alignment horizontal="right" vertical="center"/>
      <protection locked="0"/>
    </xf>
    <xf numFmtId="166" fontId="29" fillId="0" borderId="3" xfId="28" applyNumberFormat="1" applyFont="1" applyFill="1" applyBorder="1" applyAlignment="1" applyProtection="1">
      <alignment horizontal="center"/>
    </xf>
    <xf numFmtId="44" fontId="29" fillId="0" borderId="38" xfId="0" applyNumberFormat="1" applyFont="1" applyFill="1" applyBorder="1" applyAlignment="1" applyProtection="1">
      <alignment horizontal="center"/>
    </xf>
    <xf numFmtId="0" fontId="29" fillId="36" borderId="1" xfId="0" applyFont="1" applyFill="1" applyBorder="1" applyAlignment="1" applyProtection="1">
      <alignment horizontal="center" vertical="center"/>
      <protection locked="0"/>
    </xf>
    <xf numFmtId="171" fontId="52" fillId="36" borderId="7" xfId="0" applyNumberFormat="1" applyFont="1" applyFill="1" applyBorder="1" applyAlignment="1" applyProtection="1">
      <alignment horizontal="right" vertical="center"/>
      <protection locked="0"/>
    </xf>
    <xf numFmtId="44" fontId="29" fillId="0" borderId="65" xfId="0" applyNumberFormat="1" applyFont="1" applyFill="1" applyBorder="1" applyAlignment="1" applyProtection="1">
      <alignment horizontal="center"/>
    </xf>
    <xf numFmtId="3" fontId="19" fillId="34" borderId="1" xfId="43" applyNumberFormat="1" applyFont="1" applyFill="1" applyBorder="1" applyAlignment="1" applyProtection="1">
      <alignment horizontal="center"/>
    </xf>
    <xf numFmtId="2" fontId="19" fillId="34" borderId="1" xfId="43" applyNumberFormat="1" applyFont="1" applyFill="1" applyBorder="1" applyAlignment="1" applyProtection="1">
      <alignment horizontal="center"/>
    </xf>
    <xf numFmtId="4" fontId="19" fillId="34" borderId="1" xfId="43" applyNumberFormat="1" applyFont="1" applyFill="1" applyBorder="1" applyAlignment="1" applyProtection="1">
      <alignment horizontal="center"/>
    </xf>
    <xf numFmtId="0" fontId="29" fillId="36" borderId="1" xfId="0" applyFont="1" applyFill="1" applyBorder="1" applyAlignment="1" applyProtection="1">
      <alignment horizontal="center"/>
      <protection locked="0"/>
    </xf>
    <xf numFmtId="3" fontId="29" fillId="36" borderId="1" xfId="43" applyNumberFormat="1" applyFont="1" applyFill="1" applyBorder="1" applyAlignment="1" applyProtection="1">
      <alignment horizontal="center"/>
      <protection locked="0"/>
    </xf>
    <xf numFmtId="2" fontId="19" fillId="39" borderId="1" xfId="43" applyNumberFormat="1" applyFont="1" applyFill="1" applyBorder="1" applyAlignment="1" applyProtection="1">
      <alignment horizontal="center"/>
    </xf>
    <xf numFmtId="4" fontId="29" fillId="36" borderId="1" xfId="43" applyNumberFormat="1" applyFont="1" applyFill="1" applyBorder="1" applyAlignment="1" applyProtection="1">
      <alignment horizontal="center"/>
      <protection locked="0"/>
    </xf>
    <xf numFmtId="4" fontId="52" fillId="36" borderId="1" xfId="43" applyNumberFormat="1" applyFont="1" applyFill="1" applyBorder="1" applyAlignment="1" applyProtection="1">
      <alignment horizontal="center"/>
      <protection locked="0"/>
    </xf>
    <xf numFmtId="0" fontId="29" fillId="36" borderId="7" xfId="0" applyFont="1" applyFill="1" applyBorder="1" applyAlignment="1" applyProtection="1">
      <alignment horizontal="center"/>
      <protection locked="0"/>
    </xf>
    <xf numFmtId="3" fontId="29" fillId="36" borderId="7" xfId="43" applyNumberFormat="1" applyFont="1" applyFill="1" applyBorder="1" applyAlignment="1" applyProtection="1">
      <alignment horizontal="center"/>
      <protection locked="0"/>
    </xf>
    <xf numFmtId="2" fontId="19" fillId="39" borderId="7" xfId="43" applyNumberFormat="1" applyFont="1" applyFill="1" applyBorder="1" applyAlignment="1" applyProtection="1">
      <alignment horizontal="center"/>
    </xf>
    <xf numFmtId="4" fontId="29" fillId="36" borderId="7" xfId="43" applyNumberFormat="1" applyFont="1" applyFill="1" applyBorder="1" applyAlignment="1" applyProtection="1">
      <alignment horizontal="center"/>
      <protection locked="0"/>
    </xf>
    <xf numFmtId="4" fontId="52" fillId="36" borderId="7" xfId="43" applyNumberFormat="1" applyFont="1" applyFill="1" applyBorder="1" applyAlignment="1" applyProtection="1">
      <alignment horizontal="center"/>
      <protection locked="0"/>
    </xf>
    <xf numFmtId="172" fontId="29" fillId="41" borderId="60" xfId="28" applyNumberFormat="1" applyFont="1" applyFill="1" applyBorder="1" applyAlignment="1" applyProtection="1">
      <alignment vertical="center"/>
    </xf>
    <xf numFmtId="44" fontId="29" fillId="41" borderId="82" xfId="28" applyFont="1" applyFill="1" applyBorder="1" applyAlignment="1" applyProtection="1">
      <alignment vertical="center"/>
    </xf>
    <xf numFmtId="0" fontId="29" fillId="36" borderId="3" xfId="0" applyFont="1" applyFill="1" applyBorder="1" applyAlignment="1" applyProtection="1">
      <alignment horizontal="center" vertical="center"/>
      <protection locked="0"/>
    </xf>
    <xf numFmtId="0" fontId="29" fillId="36" borderId="59" xfId="0" applyFont="1" applyFill="1" applyBorder="1" applyAlignment="1" applyProtection="1">
      <alignment horizontal="center" vertical="center"/>
      <protection locked="0"/>
    </xf>
    <xf numFmtId="0" fontId="29" fillId="36" borderId="19" xfId="0" applyFont="1" applyFill="1" applyBorder="1" applyAlignment="1" applyProtection="1">
      <alignment horizontal="center" vertical="center"/>
      <protection locked="0"/>
    </xf>
    <xf numFmtId="0" fontId="29" fillId="36" borderId="7" xfId="0" applyFont="1" applyFill="1" applyBorder="1" applyAlignment="1" applyProtection="1">
      <alignment horizontal="center" vertical="center"/>
      <protection locked="0"/>
    </xf>
    <xf numFmtId="0" fontId="29" fillId="36" borderId="17" xfId="0" applyFont="1" applyFill="1" applyBorder="1" applyAlignment="1" applyProtection="1">
      <alignment horizontal="center" vertical="center"/>
      <protection locked="0"/>
    </xf>
    <xf numFmtId="44" fontId="29" fillId="39" borderId="36" xfId="28" applyFont="1" applyFill="1" applyBorder="1" applyAlignment="1" applyProtection="1">
      <alignment horizontal="center" vertical="center"/>
    </xf>
    <xf numFmtId="44" fontId="29" fillId="39" borderId="68" xfId="28" applyFont="1" applyFill="1" applyBorder="1" applyAlignment="1" applyProtection="1">
      <alignment horizontal="center" vertical="center"/>
    </xf>
    <xf numFmtId="0" fontId="16" fillId="0" borderId="42"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44" fontId="16" fillId="0" borderId="44" xfId="28" applyFont="1" applyBorder="1" applyAlignment="1" applyProtection="1">
      <alignment horizontal="center" vertical="center" wrapText="1"/>
    </xf>
    <xf numFmtId="44" fontId="16" fillId="0" borderId="43" xfId="28" applyFont="1" applyBorder="1" applyAlignment="1" applyProtection="1">
      <alignment horizontal="center" vertical="center" wrapText="1"/>
    </xf>
    <xf numFmtId="0" fontId="19" fillId="42" borderId="37" xfId="0" applyFont="1" applyFill="1" applyBorder="1" applyAlignment="1" applyProtection="1">
      <alignment horizontal="center" vertical="center" wrapText="1"/>
    </xf>
    <xf numFmtId="0" fontId="19" fillId="42" borderId="1" xfId="0" applyFont="1" applyFill="1" applyBorder="1" applyAlignment="1" applyProtection="1">
      <alignment horizontal="center" vertical="center" wrapText="1"/>
    </xf>
    <xf numFmtId="0" fontId="19" fillId="42" borderId="1" xfId="28" applyNumberFormat="1" applyFont="1" applyFill="1" applyBorder="1" applyAlignment="1" applyProtection="1">
      <alignment horizontal="center" vertical="center" wrapText="1"/>
    </xf>
    <xf numFmtId="44" fontId="19" fillId="42" borderId="1" xfId="28" applyNumberFormat="1" applyFont="1" applyFill="1" applyBorder="1" applyAlignment="1" applyProtection="1">
      <alignment horizontal="center" vertical="center" wrapText="1"/>
    </xf>
    <xf numFmtId="44" fontId="19" fillId="42" borderId="38" xfId="28" applyNumberFormat="1" applyFont="1" applyFill="1" applyBorder="1" applyAlignment="1" applyProtection="1">
      <alignment horizontal="center" vertical="center" wrapText="1"/>
    </xf>
    <xf numFmtId="0" fontId="29" fillId="36" borderId="37" xfId="0" applyFont="1" applyFill="1" applyBorder="1" applyAlignment="1" applyProtection="1">
      <alignment horizontal="center" vertical="center" wrapText="1"/>
      <protection locked="0"/>
    </xf>
    <xf numFmtId="0" fontId="29" fillId="36" borderId="1" xfId="0" applyFont="1" applyFill="1" applyBorder="1" applyAlignment="1" applyProtection="1">
      <alignment horizontal="center" vertical="center" wrapText="1"/>
      <protection locked="0"/>
    </xf>
    <xf numFmtId="1" fontId="29" fillId="36" borderId="1" xfId="0" applyNumberFormat="1" applyFont="1" applyFill="1" applyBorder="1" applyAlignment="1" applyProtection="1">
      <alignment horizontal="center" vertical="center" wrapText="1"/>
      <protection locked="0"/>
    </xf>
    <xf numFmtId="0" fontId="29" fillId="36" borderId="1" xfId="28" applyNumberFormat="1" applyFont="1" applyFill="1" applyBorder="1" applyAlignment="1" applyProtection="1">
      <alignment horizontal="center" vertical="center" wrapText="1"/>
      <protection locked="0"/>
    </xf>
    <xf numFmtId="44" fontId="29" fillId="0" borderId="1" xfId="28" applyNumberFormat="1" applyFont="1" applyFill="1" applyBorder="1" applyAlignment="1" applyProtection="1">
      <alignment horizontal="center" vertical="center" wrapText="1"/>
    </xf>
    <xf numFmtId="44" fontId="29" fillId="0" borderId="38" xfId="28" applyNumberFormat="1" applyFont="1" applyFill="1" applyBorder="1" applyAlignment="1" applyProtection="1">
      <alignment horizontal="center" vertical="center" wrapText="1"/>
    </xf>
    <xf numFmtId="0" fontId="29" fillId="36" borderId="74" xfId="0" applyFont="1" applyFill="1" applyBorder="1" applyAlignment="1" applyProtection="1">
      <alignment horizontal="center" vertical="center" wrapText="1"/>
      <protection locked="0"/>
    </xf>
    <xf numFmtId="0" fontId="29" fillId="36" borderId="7" xfId="0" applyFont="1" applyFill="1" applyBorder="1" applyAlignment="1" applyProtection="1">
      <alignment horizontal="center" vertical="center" wrapText="1"/>
      <protection locked="0"/>
    </xf>
    <xf numFmtId="1" fontId="29" fillId="36" borderId="7" xfId="0" applyNumberFormat="1" applyFont="1" applyFill="1" applyBorder="1" applyAlignment="1" applyProtection="1">
      <alignment horizontal="center" vertical="center" wrapText="1"/>
      <protection locked="0"/>
    </xf>
    <xf numFmtId="0" fontId="29" fillId="36" borderId="7" xfId="28" applyNumberFormat="1" applyFont="1" applyFill="1" applyBorder="1" applyAlignment="1" applyProtection="1">
      <alignment horizontal="center" vertical="center" wrapText="1"/>
      <protection locked="0"/>
    </xf>
    <xf numFmtId="44" fontId="29" fillId="0" borderId="7" xfId="28" applyNumberFormat="1" applyFont="1" applyFill="1" applyBorder="1" applyAlignment="1" applyProtection="1">
      <alignment horizontal="center" vertical="center" wrapText="1"/>
    </xf>
    <xf numFmtId="44" fontId="0" fillId="0" borderId="1" xfId="28" applyFont="1" applyBorder="1" applyAlignment="1" applyProtection="1">
      <alignment horizontal="right"/>
    </xf>
    <xf numFmtId="172" fontId="5" fillId="35" borderId="1" xfId="28" applyNumberFormat="1" applyFont="1" applyFill="1" applyBorder="1" applyAlignment="1" applyProtection="1">
      <alignment horizontal="center"/>
    </xf>
    <xf numFmtId="165" fontId="0" fillId="0" borderId="0" xfId="0" applyNumberFormat="1" applyBorder="1" applyAlignment="1" applyProtection="1">
      <alignment horizontal="righ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33" borderId="48" xfId="0" applyFill="1" applyBorder="1" applyAlignment="1" applyProtection="1">
      <alignment vertical="center" wrapText="1"/>
    </xf>
    <xf numFmtId="0" fontId="2" fillId="37" borderId="1" xfId="0" applyFont="1" applyFill="1" applyBorder="1" applyAlignment="1" applyProtection="1">
      <alignment wrapText="1"/>
    </xf>
    <xf numFmtId="0" fontId="22" fillId="0" borderId="1" xfId="0" applyFont="1" applyBorder="1" applyAlignment="1" applyProtection="1">
      <alignment wrapText="1"/>
    </xf>
    <xf numFmtId="0" fontId="37" fillId="0" borderId="0" xfId="0" applyFont="1" applyAlignment="1" applyProtection="1">
      <alignment horizontal="center" vertical="center" wrapText="1"/>
    </xf>
    <xf numFmtId="0" fontId="0" fillId="0" borderId="1" xfId="0" applyBorder="1" applyAlignment="1" applyProtection="1">
      <alignment wrapText="1"/>
    </xf>
    <xf numFmtId="0" fontId="37" fillId="0" borderId="0" xfId="0" applyFont="1" applyAlignment="1" applyProtection="1">
      <alignment horizontal="right" vertical="center" wrapText="1"/>
    </xf>
    <xf numFmtId="0" fontId="33" fillId="0" borderId="0" xfId="0" applyFont="1" applyAlignment="1" applyProtection="1">
      <alignment horizontal="center" vertical="center" wrapText="1"/>
    </xf>
    <xf numFmtId="0" fontId="28" fillId="39" borderId="0" xfId="0" applyFont="1" applyFill="1" applyAlignment="1" applyProtection="1">
      <alignment horizontal="left" vertical="top" wrapText="1"/>
    </xf>
    <xf numFmtId="0" fontId="2" fillId="40" borderId="1" xfId="0" applyFont="1" applyFill="1" applyBorder="1" applyAlignment="1" applyProtection="1">
      <alignment horizontal="center" vertical="center" wrapText="1"/>
    </xf>
    <xf numFmtId="0" fontId="24" fillId="0" borderId="0" xfId="0" applyFont="1" applyAlignment="1" applyProtection="1">
      <alignment vertical="center"/>
    </xf>
    <xf numFmtId="0" fontId="16" fillId="39" borderId="0" xfId="0" applyFont="1" applyFill="1" applyAlignment="1" applyProtection="1">
      <alignment vertical="center"/>
    </xf>
    <xf numFmtId="0" fontId="16" fillId="39" borderId="0" xfId="0" applyFont="1" applyFill="1" applyAlignment="1" applyProtection="1">
      <alignment horizontal="right" vertical="center"/>
    </xf>
    <xf numFmtId="0" fontId="33" fillId="39" borderId="0" xfId="0" applyFont="1" applyFill="1" applyAlignment="1" applyProtection="1">
      <alignment vertical="center"/>
    </xf>
    <xf numFmtId="0" fontId="24" fillId="0" borderId="1" xfId="0" applyFont="1" applyBorder="1" applyAlignment="1" applyProtection="1">
      <alignment vertical="center"/>
    </xf>
    <xf numFmtId="0" fontId="16" fillId="0" borderId="0" xfId="0" applyFont="1" applyFill="1" applyBorder="1" applyAlignment="1" applyProtection="1">
      <alignment vertical="center"/>
    </xf>
    <xf numFmtId="0" fontId="0" fillId="39" borderId="0" xfId="0" applyFont="1" applyFill="1" applyAlignment="1" applyProtection="1">
      <alignment horizontal="right" vertical="center"/>
    </xf>
    <xf numFmtId="0" fontId="0" fillId="0" borderId="0" xfId="0" applyFont="1" applyAlignment="1" applyProtection="1">
      <alignment horizontal="left" vertical="center"/>
    </xf>
    <xf numFmtId="0" fontId="16" fillId="0" borderId="0" xfId="0" applyFont="1" applyAlignment="1" applyProtection="1">
      <alignment vertical="center"/>
    </xf>
    <xf numFmtId="0" fontId="2" fillId="0" borderId="0" xfId="0" applyFont="1" applyAlignment="1" applyProtection="1">
      <alignment vertical="center"/>
    </xf>
    <xf numFmtId="6" fontId="0" fillId="0" borderId="0" xfId="0" applyNumberFormat="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6" fontId="0" fillId="0" borderId="0" xfId="0" applyNumberForma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horizontal="center" vertical="center"/>
    </xf>
    <xf numFmtId="0" fontId="29" fillId="41" borderId="60" xfId="0" applyFont="1" applyFill="1" applyBorder="1" applyAlignment="1" applyProtection="1">
      <alignment horizontal="center" vertical="center"/>
    </xf>
    <xf numFmtId="0" fontId="29" fillId="41" borderId="61" xfId="0" applyFont="1" applyFill="1" applyBorder="1" applyAlignment="1" applyProtection="1">
      <alignment horizontal="center" vertical="center"/>
    </xf>
    <xf numFmtId="2" fontId="29" fillId="41" borderId="61" xfId="0" applyNumberFormat="1" applyFont="1" applyFill="1" applyBorder="1" applyAlignment="1" applyProtection="1">
      <alignment horizontal="center" vertical="center"/>
    </xf>
    <xf numFmtId="0" fontId="29" fillId="41" borderId="62" xfId="0" applyFont="1" applyFill="1" applyBorder="1" applyAlignment="1" applyProtection="1">
      <alignment horizontal="center" vertical="center"/>
    </xf>
    <xf numFmtId="0" fontId="0" fillId="34" borderId="1" xfId="0" applyFill="1" applyBorder="1" applyAlignment="1" applyProtection="1">
      <alignment horizontal="center" vertical="center"/>
    </xf>
    <xf numFmtId="2" fontId="0" fillId="34" borderId="1" xfId="0" applyNumberFormat="1" applyFill="1" applyBorder="1" applyAlignment="1" applyProtection="1">
      <alignment horizontal="center" vertical="center"/>
    </xf>
    <xf numFmtId="2" fontId="29" fillId="41" borderId="59" xfId="0" applyNumberFormat="1" applyFont="1" applyFill="1" applyBorder="1" applyAlignment="1" applyProtection="1">
      <alignment horizontal="center" vertical="center"/>
    </xf>
    <xf numFmtId="0" fontId="29" fillId="0" borderId="19" xfId="0" applyFont="1" applyBorder="1" applyAlignment="1" applyProtection="1">
      <alignment horizontal="center" vertical="center"/>
    </xf>
    <xf numFmtId="172" fontId="29" fillId="0" borderId="19" xfId="0" applyNumberFormat="1" applyFont="1" applyBorder="1" applyAlignment="1" applyProtection="1">
      <alignment horizontal="right" vertical="center"/>
    </xf>
    <xf numFmtId="2" fontId="29" fillId="41" borderId="16" xfId="0" applyNumberFormat="1" applyFont="1" applyFill="1" applyBorder="1" applyAlignment="1" applyProtection="1">
      <alignment horizontal="center" vertical="center"/>
    </xf>
    <xf numFmtId="0" fontId="29" fillId="0" borderId="17" xfId="0" applyFont="1" applyBorder="1" applyAlignment="1" applyProtection="1">
      <alignment horizontal="center" vertical="center"/>
    </xf>
    <xf numFmtId="172" fontId="29" fillId="0" borderId="17" xfId="0" applyNumberFormat="1" applyFont="1" applyBorder="1" applyAlignment="1" applyProtection="1">
      <alignment horizontal="right" vertical="center"/>
    </xf>
    <xf numFmtId="0" fontId="33" fillId="0" borderId="0" xfId="0" applyFont="1" applyAlignment="1" applyProtection="1">
      <alignment horizontal="center" vertical="center"/>
    </xf>
    <xf numFmtId="0" fontId="20" fillId="39" borderId="0" xfId="0" applyFont="1" applyFill="1" applyProtection="1"/>
    <xf numFmtId="0" fontId="16" fillId="0" borderId="0" xfId="0" applyFont="1" applyAlignment="1" applyProtection="1">
      <alignment horizontal="right" vertical="center"/>
    </xf>
    <xf numFmtId="0" fontId="34" fillId="0" borderId="0" xfId="0" applyFont="1" applyAlignment="1" applyProtection="1">
      <alignment vertical="center"/>
    </xf>
    <xf numFmtId="0" fontId="32" fillId="0" borderId="0" xfId="0" applyFont="1" applyAlignment="1" applyProtection="1">
      <alignment vertical="center"/>
    </xf>
    <xf numFmtId="0" fontId="32" fillId="0" borderId="0" xfId="0" applyFont="1" applyAlignment="1" applyProtection="1">
      <alignment horizontal="center" vertical="center"/>
    </xf>
    <xf numFmtId="0" fontId="22" fillId="0" borderId="0" xfId="0" applyFont="1" applyAlignment="1" applyProtection="1">
      <alignment horizontal="right" vertical="top"/>
    </xf>
    <xf numFmtId="0" fontId="0" fillId="0" borderId="0" xfId="0" applyAlignment="1" applyProtection="1">
      <alignment horizontal="left" vertical="top"/>
    </xf>
    <xf numFmtId="0" fontId="0" fillId="0" borderId="0" xfId="0" applyAlignment="1" applyProtection="1">
      <alignment horizontal="right" vertical="top"/>
    </xf>
    <xf numFmtId="0" fontId="0" fillId="0" borderId="0" xfId="0" applyAlignment="1" applyProtection="1">
      <alignment horizontal="right" vertical="top" wrapText="1"/>
    </xf>
    <xf numFmtId="0" fontId="0" fillId="0" borderId="0" xfId="0" applyAlignment="1" applyProtection="1">
      <alignment horizontal="left" vertical="top" wrapText="1"/>
    </xf>
    <xf numFmtId="0" fontId="24" fillId="0" borderId="0" xfId="0" applyFont="1" applyAlignment="1" applyProtection="1">
      <alignment vertical="center" wrapText="1"/>
    </xf>
    <xf numFmtId="0" fontId="0" fillId="0" borderId="0" xfId="0" applyAlignment="1" applyProtection="1">
      <alignment vertical="top"/>
    </xf>
    <xf numFmtId="0" fontId="35" fillId="39" borderId="0" xfId="0" applyFont="1" applyFill="1" applyAlignment="1" applyProtection="1">
      <alignment horizontal="left" vertical="top"/>
    </xf>
    <xf numFmtId="0" fontId="2" fillId="35"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 fontId="0" fillId="0" borderId="1" xfId="0" applyNumberFormat="1" applyBorder="1" applyAlignment="1" applyProtection="1">
      <alignment horizontal="right" vertical="center"/>
    </xf>
    <xf numFmtId="3" fontId="0" fillId="0" borderId="1" xfId="0" applyNumberFormat="1" applyBorder="1" applyAlignment="1" applyProtection="1">
      <alignment horizontal="left" vertical="center"/>
    </xf>
    <xf numFmtId="2" fontId="0" fillId="0" borderId="1" xfId="0" applyNumberFormat="1" applyBorder="1" applyAlignment="1" applyProtection="1">
      <alignment horizontal="right" vertical="center"/>
    </xf>
    <xf numFmtId="2" fontId="0" fillId="0" borderId="1" xfId="0" applyNumberFormat="1" applyBorder="1" applyAlignment="1" applyProtection="1">
      <alignment horizontal="left" vertical="center"/>
    </xf>
    <xf numFmtId="173" fontId="0" fillId="39" borderId="1" xfId="0" applyNumberFormat="1" applyFill="1" applyBorder="1" applyAlignment="1" applyProtection="1">
      <alignment horizontal="right" vertical="center"/>
    </xf>
    <xf numFmtId="174" fontId="0" fillId="39" borderId="1" xfId="0" applyNumberFormat="1" applyFill="1" applyBorder="1" applyAlignment="1" applyProtection="1">
      <alignment horizontal="right" vertical="center"/>
    </xf>
    <xf numFmtId="174" fontId="24" fillId="39" borderId="1" xfId="0" applyNumberFormat="1" applyFont="1" applyFill="1" applyBorder="1" applyAlignment="1" applyProtection="1">
      <alignment horizontal="right" vertical="center"/>
    </xf>
    <xf numFmtId="173" fontId="24" fillId="39" borderId="1" xfId="0" applyNumberFormat="1" applyFont="1" applyFill="1" applyBorder="1" applyAlignment="1" applyProtection="1">
      <alignment horizontal="right" vertical="center"/>
    </xf>
    <xf numFmtId="175" fontId="0" fillId="39" borderId="1" xfId="0" applyNumberFormat="1" applyFill="1" applyBorder="1" applyAlignment="1" applyProtection="1">
      <alignment horizontal="right" vertical="center"/>
    </xf>
    <xf numFmtId="0" fontId="2" fillId="0" borderId="0" xfId="0" applyFont="1" applyAlignment="1" applyProtection="1">
      <alignment horizontal="center" vertical="center"/>
    </xf>
    <xf numFmtId="0" fontId="44" fillId="0" borderId="0" xfId="0" applyFont="1" applyProtection="1"/>
    <xf numFmtId="0" fontId="43" fillId="0" borderId="0" xfId="0" applyFont="1" applyAlignment="1" applyProtection="1">
      <alignment horizontal="left" vertical="top" wrapText="1"/>
    </xf>
    <xf numFmtId="0" fontId="35" fillId="0" borderId="0" xfId="0" applyFont="1" applyProtection="1"/>
    <xf numFmtId="0" fontId="34" fillId="0" borderId="0" xfId="0" applyFont="1" applyAlignment="1" applyProtection="1">
      <alignment horizontal="left" indent="1"/>
    </xf>
    <xf numFmtId="0" fontId="0" fillId="0" borderId="0" xfId="0" applyAlignment="1" applyProtection="1">
      <alignment horizontal="left"/>
    </xf>
    <xf numFmtId="0" fontId="34" fillId="0" borderId="0" xfId="0" applyFont="1" applyFill="1" applyAlignment="1" applyProtection="1">
      <alignment horizontal="left" indent="1"/>
    </xf>
    <xf numFmtId="0" fontId="0" fillId="0" borderId="0" xfId="0" applyFill="1" applyAlignment="1" applyProtection="1">
      <alignment horizontal="left"/>
    </xf>
    <xf numFmtId="0" fontId="0" fillId="0" borderId="0" xfId="0" applyFill="1" applyAlignment="1" applyProtection="1">
      <alignment horizontal="right" vertical="center"/>
    </xf>
    <xf numFmtId="0" fontId="16" fillId="0" borderId="43" xfId="0" applyFont="1" applyBorder="1" applyAlignment="1" applyProtection="1">
      <alignment horizontal="center" vertical="center" wrapText="1"/>
    </xf>
    <xf numFmtId="0" fontId="19" fillId="34" borderId="1" xfId="0" applyFont="1" applyFill="1" applyBorder="1" applyAlignment="1" applyProtection="1">
      <alignment horizontal="center"/>
    </xf>
    <xf numFmtId="176" fontId="19" fillId="34" borderId="1" xfId="0" applyNumberFormat="1" applyFont="1" applyFill="1" applyBorder="1" applyAlignment="1" applyProtection="1">
      <alignment horizontal="center"/>
    </xf>
    <xf numFmtId="176" fontId="19" fillId="39" borderId="1" xfId="0" applyNumberFormat="1" applyFont="1" applyFill="1" applyBorder="1" applyAlignment="1" applyProtection="1">
      <alignment horizontal="center"/>
    </xf>
    <xf numFmtId="44" fontId="29" fillId="39" borderId="38" xfId="0" applyNumberFormat="1" applyFont="1" applyFill="1" applyBorder="1" applyAlignment="1" applyProtection="1">
      <alignment horizontal="center"/>
    </xf>
    <xf numFmtId="0" fontId="0" fillId="39" borderId="1" xfId="0" applyFill="1" applyBorder="1" applyAlignment="1" applyProtection="1">
      <alignment horizontal="center" vertical="center"/>
    </xf>
    <xf numFmtId="176" fontId="19" fillId="39" borderId="7" xfId="0" applyNumberFormat="1" applyFont="1" applyFill="1" applyBorder="1" applyAlignment="1" applyProtection="1">
      <alignment horizontal="center"/>
    </xf>
    <xf numFmtId="44" fontId="29" fillId="39" borderId="65" xfId="0" applyNumberFormat="1" applyFont="1" applyFill="1" applyBorder="1" applyAlignment="1" applyProtection="1">
      <alignment horizontal="center"/>
    </xf>
    <xf numFmtId="44" fontId="16" fillId="38" borderId="48" xfId="0" applyNumberFormat="1" applyFont="1" applyFill="1" applyBorder="1" applyAlignment="1" applyProtection="1">
      <alignment horizontal="center" vertical="center" wrapText="1"/>
    </xf>
    <xf numFmtId="0" fontId="0" fillId="39" borderId="0" xfId="0" applyFill="1" applyProtection="1"/>
    <xf numFmtId="0" fontId="24" fillId="0" borderId="0" xfId="0" applyFont="1" applyFill="1" applyBorder="1" applyAlignment="1" applyProtection="1">
      <alignment vertical="center"/>
    </xf>
    <xf numFmtId="0" fontId="24" fillId="0" borderId="1" xfId="0" applyFont="1" applyBorder="1" applyAlignment="1" applyProtection="1">
      <alignment horizontal="left" vertical="center"/>
    </xf>
    <xf numFmtId="0" fontId="54" fillId="0" borderId="0" xfId="0" applyFont="1" applyFill="1" applyBorder="1" applyAlignment="1" applyProtection="1"/>
    <xf numFmtId="0" fontId="0" fillId="39" borderId="6" xfId="0" applyFill="1" applyBorder="1" applyAlignment="1" applyProtection="1">
      <alignment horizontal="right" vertical="center"/>
    </xf>
    <xf numFmtId="0" fontId="0" fillId="39" borderId="5" xfId="0" applyFill="1" applyBorder="1" applyAlignment="1" applyProtection="1">
      <alignment horizontal="center" vertical="center"/>
    </xf>
    <xf numFmtId="3" fontId="0" fillId="39" borderId="4" xfId="0" applyNumberFormat="1" applyFill="1" applyBorder="1" applyAlignment="1" applyProtection="1">
      <alignment horizontal="left" vertical="center"/>
    </xf>
    <xf numFmtId="0" fontId="0" fillId="39" borderId="4" xfId="0" applyFill="1" applyBorder="1" applyAlignment="1" applyProtection="1">
      <alignment horizontal="left" vertical="center"/>
    </xf>
    <xf numFmtId="2" fontId="0" fillId="0" borderId="0" xfId="0" applyNumberFormat="1" applyProtection="1"/>
    <xf numFmtId="3" fontId="0" fillId="39" borderId="6" xfId="0" applyNumberFormat="1" applyFill="1" applyBorder="1" applyAlignment="1" applyProtection="1">
      <alignment horizontal="right" vertical="center"/>
    </xf>
    <xf numFmtId="0" fontId="0" fillId="39" borderId="1" xfId="0" applyFill="1" applyBorder="1" applyProtection="1"/>
    <xf numFmtId="0" fontId="5" fillId="0" borderId="0" xfId="0" applyFont="1" applyFill="1" applyBorder="1" applyAlignment="1" applyProtection="1"/>
    <xf numFmtId="0" fontId="0" fillId="39" borderId="0" xfId="0" applyFill="1" applyAlignment="1" applyProtection="1">
      <alignment horizontal="right" vertical="center"/>
    </xf>
    <xf numFmtId="0" fontId="0" fillId="39" borderId="0" xfId="0" applyFill="1" applyAlignment="1" applyProtection="1">
      <alignment horizontal="left" vertical="center"/>
    </xf>
    <xf numFmtId="0" fontId="0" fillId="39" borderId="0" xfId="0" applyFill="1" applyAlignment="1" applyProtection="1">
      <alignment horizontal="center" vertical="center"/>
    </xf>
    <xf numFmtId="0" fontId="55" fillId="0" borderId="1" xfId="0" applyFont="1" applyFill="1" applyBorder="1" applyAlignment="1" applyProtection="1">
      <alignment horizontal="center" vertical="center"/>
    </xf>
    <xf numFmtId="185" fontId="0" fillId="39" borderId="57" xfId="0" applyNumberFormat="1" applyFill="1" applyBorder="1" applyAlignment="1" applyProtection="1">
      <alignment horizontal="center" vertical="center"/>
    </xf>
    <xf numFmtId="185" fontId="0" fillId="39" borderId="7" xfId="0" applyNumberFormat="1" applyFill="1" applyBorder="1" applyAlignment="1" applyProtection="1">
      <alignment horizontal="center" vertical="center"/>
    </xf>
    <xf numFmtId="0" fontId="0" fillId="39" borderId="57" xfId="0" applyFill="1" applyBorder="1" applyAlignment="1" applyProtection="1">
      <alignment horizontal="right" vertical="center"/>
    </xf>
    <xf numFmtId="0" fontId="0" fillId="39" borderId="15" xfId="0" applyFill="1" applyBorder="1" applyAlignment="1" applyProtection="1">
      <alignment horizontal="center" vertical="center"/>
    </xf>
    <xf numFmtId="3" fontId="0" fillId="39" borderId="58" xfId="0" applyNumberFormat="1" applyFill="1" applyBorder="1" applyAlignment="1" applyProtection="1">
      <alignment horizontal="left" vertical="center"/>
    </xf>
    <xf numFmtId="0" fontId="0" fillId="39" borderId="58" xfId="0" applyFill="1" applyBorder="1" applyAlignment="1" applyProtection="1">
      <alignment horizontal="left" vertical="center"/>
    </xf>
    <xf numFmtId="0" fontId="54" fillId="0" borderId="0" xfId="0" applyFont="1" applyFill="1" applyBorder="1" applyAlignment="1" applyProtection="1">
      <alignment vertical="center"/>
    </xf>
    <xf numFmtId="0" fontId="55" fillId="0" borderId="1" xfId="0" applyFont="1" applyFill="1" applyBorder="1" applyAlignment="1" applyProtection="1">
      <alignment horizontal="center"/>
    </xf>
    <xf numFmtId="0" fontId="2" fillId="0" borderId="0" xfId="0" applyFont="1" applyProtection="1"/>
    <xf numFmtId="184" fontId="0" fillId="0" borderId="7" xfId="0" applyNumberFormat="1" applyBorder="1" applyAlignment="1" applyProtection="1">
      <alignment horizontal="center"/>
    </xf>
    <xf numFmtId="181" fontId="24" fillId="39" borderId="3" xfId="0" applyNumberFormat="1" applyFont="1" applyFill="1" applyBorder="1" applyAlignment="1" applyProtection="1">
      <alignment horizontal="center" vertical="center"/>
    </xf>
    <xf numFmtId="0" fontId="2" fillId="0" borderId="0" xfId="0" applyFont="1" applyAlignment="1" applyProtection="1">
      <alignment horizontal="right"/>
    </xf>
    <xf numFmtId="3" fontId="0" fillId="0" borderId="6" xfId="0" applyNumberFormat="1" applyBorder="1" applyAlignment="1" applyProtection="1">
      <alignment horizontal="right"/>
    </xf>
    <xf numFmtId="0" fontId="0" fillId="0" borderId="5" xfId="0" applyBorder="1" applyAlignment="1" applyProtection="1">
      <alignment horizontal="center" vertical="center"/>
    </xf>
    <xf numFmtId="3" fontId="0" fillId="0" borderId="4" xfId="0" applyNumberFormat="1" applyBorder="1" applyAlignment="1" applyProtection="1">
      <alignment horizontal="left"/>
    </xf>
    <xf numFmtId="165" fontId="0" fillId="39" borderId="6" xfId="0" applyNumberFormat="1" applyFill="1" applyBorder="1" applyAlignment="1" applyProtection="1">
      <alignment horizontal="right" vertical="center"/>
    </xf>
    <xf numFmtId="165" fontId="0" fillId="39" borderId="4" xfId="0" applyNumberFormat="1" applyFill="1" applyBorder="1" applyAlignment="1" applyProtection="1">
      <alignment horizontal="left" vertical="center"/>
    </xf>
    <xf numFmtId="184" fontId="0" fillId="0" borderId="1" xfId="0" applyNumberFormat="1" applyBorder="1" applyAlignment="1" applyProtection="1">
      <alignment horizontal="center"/>
    </xf>
    <xf numFmtId="3" fontId="0" fillId="0" borderId="5" xfId="0" applyNumberFormat="1" applyBorder="1" applyAlignment="1" applyProtection="1">
      <alignment horizontal="left"/>
    </xf>
    <xf numFmtId="165" fontId="0" fillId="39" borderId="5" xfId="0" applyNumberFormat="1" applyFill="1" applyBorder="1" applyAlignment="1" applyProtection="1">
      <alignment horizontal="left" vertical="center"/>
    </xf>
    <xf numFmtId="0" fontId="2" fillId="0" borderId="0" xfId="0" applyFont="1" applyAlignment="1" applyProtection="1">
      <alignment horizontal="left"/>
    </xf>
    <xf numFmtId="3" fontId="0" fillId="39" borderId="6" xfId="0" applyNumberFormat="1" applyFill="1" applyBorder="1" applyAlignment="1" applyProtection="1">
      <alignment horizontal="right"/>
    </xf>
    <xf numFmtId="3" fontId="0" fillId="39" borderId="4" xfId="0" applyNumberFormat="1" applyFill="1" applyBorder="1" applyAlignment="1" applyProtection="1">
      <alignment horizontal="left"/>
    </xf>
    <xf numFmtId="3" fontId="0" fillId="39" borderId="5" xfId="0" applyNumberFormat="1" applyFill="1" applyBorder="1" applyAlignment="1" applyProtection="1">
      <alignment horizontal="left"/>
    </xf>
    <xf numFmtId="165" fontId="0" fillId="39" borderId="5" xfId="0" applyNumberFormat="1" applyFill="1" applyBorder="1" applyAlignment="1" applyProtection="1">
      <alignment horizontal="left"/>
    </xf>
    <xf numFmtId="0" fontId="24" fillId="0" borderId="0" xfId="0" applyFont="1" applyProtection="1"/>
    <xf numFmtId="0" fontId="24" fillId="0" borderId="0" xfId="0" applyFont="1" applyAlignment="1" applyProtection="1">
      <alignment horizontal="center"/>
    </xf>
    <xf numFmtId="165" fontId="0" fillId="0" borderId="6" xfId="0" applyNumberFormat="1" applyBorder="1" applyAlignment="1" applyProtection="1">
      <alignment horizontal="right" vertical="center"/>
    </xf>
    <xf numFmtId="165" fontId="0" fillId="0" borderId="4" xfId="0" applyNumberFormat="1" applyBorder="1" applyAlignment="1" applyProtection="1">
      <alignment horizontal="left" vertical="center"/>
    </xf>
    <xf numFmtId="2" fontId="0" fillId="0" borderId="4" xfId="0" applyNumberFormat="1" applyBorder="1" applyAlignment="1" applyProtection="1">
      <alignment horizontal="left" vertical="center"/>
    </xf>
    <xf numFmtId="0" fontId="55" fillId="0" borderId="7" xfId="0" applyFont="1" applyFill="1" applyBorder="1" applyAlignment="1" applyProtection="1">
      <alignment horizontal="center"/>
    </xf>
    <xf numFmtId="165" fontId="0" fillId="0" borderId="5" xfId="0" applyNumberFormat="1" applyBorder="1" applyAlignment="1" applyProtection="1">
      <alignment horizontal="left" vertical="center"/>
    </xf>
    <xf numFmtId="177" fontId="24" fillId="0" borderId="7" xfId="0" applyNumberFormat="1" applyFont="1" applyBorder="1" applyAlignment="1" applyProtection="1">
      <alignment horizontal="center" vertical="center"/>
    </xf>
    <xf numFmtId="0" fontId="18" fillId="0" borderId="0" xfId="0" applyFont="1" applyAlignment="1" applyProtection="1">
      <alignment horizontal="left" vertical="top" wrapText="1"/>
    </xf>
    <xf numFmtId="0" fontId="5" fillId="0" borderId="0" xfId="0" applyFont="1" applyFill="1" applyBorder="1" applyAlignment="1" applyProtection="1">
      <alignment horizontal="left" wrapText="1"/>
    </xf>
    <xf numFmtId="0" fontId="2" fillId="0" borderId="0" xfId="0" applyFont="1" applyFill="1" applyBorder="1" applyAlignment="1" applyProtection="1"/>
    <xf numFmtId="0" fontId="51" fillId="0" borderId="0" xfId="45" applyBorder="1" applyAlignment="1" applyProtection="1"/>
    <xf numFmtId="0" fontId="51" fillId="0" borderId="0" xfId="45" applyBorder="1" applyAlignment="1" applyProtection="1">
      <alignment horizontal="right"/>
    </xf>
    <xf numFmtId="44" fontId="0" fillId="0" borderId="1" xfId="0" applyNumberFormat="1" applyBorder="1" applyProtection="1"/>
    <xf numFmtId="0" fontId="16" fillId="0" borderId="0" xfId="0" applyFont="1" applyBorder="1" applyProtection="1"/>
    <xf numFmtId="0" fontId="52" fillId="36" borderId="1" xfId="0" applyFont="1" applyFill="1" applyBorder="1" applyAlignment="1" applyProtection="1">
      <alignment horizontal="center" vertical="center"/>
      <protection locked="0"/>
    </xf>
    <xf numFmtId="0" fontId="19" fillId="34" borderId="1"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52" fillId="36" borderId="7"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29" fillId="36" borderId="1"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29"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31" xfId="0" applyBorder="1" applyAlignment="1" applyProtection="1">
      <alignment horizontal="left" vertical="center" wrapText="1"/>
    </xf>
    <xf numFmtId="0" fontId="0" fillId="36" borderId="2" xfId="0" applyFill="1" applyBorder="1" applyAlignment="1" applyProtection="1">
      <alignment horizontal="center"/>
      <protection locked="0"/>
    </xf>
    <xf numFmtId="0" fontId="16" fillId="0" borderId="51"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52"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0" borderId="52"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52" fillId="36" borderId="6" xfId="0" applyFont="1" applyFill="1" applyBorder="1" applyAlignment="1" applyProtection="1">
      <alignment horizontal="center" vertical="center"/>
      <protection locked="0"/>
    </xf>
    <xf numFmtId="0" fontId="52" fillId="36" borderId="4" xfId="0" applyFont="1" applyFill="1" applyBorder="1" applyAlignment="1" applyProtection="1">
      <alignment horizontal="center" vertical="center"/>
      <protection locked="0"/>
    </xf>
    <xf numFmtId="0" fontId="52" fillId="36" borderId="7" xfId="0" applyFont="1" applyFill="1" applyBorder="1" applyAlignment="1" applyProtection="1">
      <alignment horizontal="center" vertical="center"/>
      <protection locked="0"/>
    </xf>
    <xf numFmtId="0" fontId="52" fillId="36" borderId="1" xfId="0" applyFont="1" applyFill="1" applyBorder="1" applyAlignment="1" applyProtection="1">
      <alignment horizontal="center" vertical="center"/>
      <protection locked="0"/>
    </xf>
    <xf numFmtId="0" fontId="19" fillId="34" borderId="53" xfId="0" applyFont="1" applyFill="1" applyBorder="1" applyAlignment="1" applyProtection="1">
      <alignment horizontal="center" vertical="center"/>
    </xf>
    <xf numFmtId="0" fontId="19" fillId="34" borderId="15" xfId="0" applyFont="1" applyFill="1" applyBorder="1" applyAlignment="1" applyProtection="1">
      <alignment horizontal="center" vertical="center"/>
    </xf>
    <xf numFmtId="0" fontId="52" fillId="36" borderId="57" xfId="0" applyFont="1" applyFill="1" applyBorder="1" applyAlignment="1" applyProtection="1">
      <alignment horizontal="center" vertical="center"/>
      <protection locked="0"/>
    </xf>
    <xf numFmtId="0" fontId="52" fillId="36" borderId="58" xfId="0" applyFont="1" applyFill="1" applyBorder="1" applyAlignment="1" applyProtection="1">
      <alignment horizontal="center" vertical="center"/>
      <protection locked="0"/>
    </xf>
    <xf numFmtId="0" fontId="52" fillId="36" borderId="54" xfId="0" applyFont="1" applyFill="1" applyBorder="1" applyAlignment="1" applyProtection="1">
      <alignment horizontal="center"/>
      <protection locked="0"/>
    </xf>
    <xf numFmtId="0" fontId="52" fillId="36" borderId="4" xfId="0" applyFont="1" applyFill="1" applyBorder="1" applyAlignment="1" applyProtection="1">
      <alignment horizontal="center"/>
      <protection locked="0"/>
    </xf>
    <xf numFmtId="0" fontId="52" fillId="36" borderId="53" xfId="0" applyFont="1" applyFill="1" applyBorder="1" applyAlignment="1" applyProtection="1">
      <alignment horizontal="center"/>
      <protection locked="0"/>
    </xf>
    <xf numFmtId="0" fontId="52" fillId="36" borderId="58" xfId="0" applyFont="1" applyFill="1" applyBorder="1" applyAlignment="1" applyProtection="1">
      <alignment horizontal="center"/>
      <protection locked="0"/>
    </xf>
    <xf numFmtId="0" fontId="29" fillId="0" borderId="1" xfId="0" applyFont="1" applyBorder="1" applyAlignment="1" applyProtection="1">
      <alignment horizontal="center" vertical="center" wrapText="1"/>
    </xf>
    <xf numFmtId="0" fontId="52" fillId="36" borderId="17" xfId="0" applyFont="1" applyFill="1" applyBorder="1" applyAlignment="1" applyProtection="1">
      <alignment horizontal="center" vertical="center"/>
      <protection locked="0"/>
    </xf>
    <xf numFmtId="0" fontId="52" fillId="36" borderId="18" xfId="0" applyFont="1" applyFill="1" applyBorder="1" applyAlignment="1" applyProtection="1">
      <alignment horizontal="center" vertical="center"/>
      <protection locked="0"/>
    </xf>
    <xf numFmtId="0" fontId="5" fillId="35" borderId="29" xfId="0" applyFont="1" applyFill="1" applyBorder="1" applyAlignment="1" applyProtection="1">
      <alignment horizontal="center" vertical="center"/>
    </xf>
    <xf numFmtId="0" fontId="5" fillId="35" borderId="30" xfId="0" applyFont="1" applyFill="1" applyBorder="1" applyAlignment="1" applyProtection="1">
      <alignment horizontal="center" vertical="center"/>
    </xf>
    <xf numFmtId="0" fontId="5" fillId="35" borderId="31" xfId="0" applyFont="1" applyFill="1" applyBorder="1" applyAlignment="1" applyProtection="1">
      <alignment horizontal="center" vertical="center"/>
    </xf>
    <xf numFmtId="0" fontId="0" fillId="33" borderId="29" xfId="0" applyFill="1" applyBorder="1" applyAlignment="1" applyProtection="1">
      <alignment horizontal="center"/>
    </xf>
    <xf numFmtId="0" fontId="0" fillId="33" borderId="30" xfId="0" applyFill="1" applyBorder="1" applyAlignment="1" applyProtection="1">
      <alignment horizontal="center"/>
    </xf>
    <xf numFmtId="0" fontId="0" fillId="33" borderId="31" xfId="0" applyFill="1" applyBorder="1" applyAlignment="1" applyProtection="1">
      <alignment horizontal="center"/>
    </xf>
    <xf numFmtId="0" fontId="28" fillId="0" borderId="29" xfId="0" applyFont="1" applyBorder="1" applyAlignment="1" applyProtection="1">
      <alignment horizontal="left" vertical="center" wrapText="1"/>
    </xf>
    <xf numFmtId="0" fontId="28" fillId="0" borderId="30" xfId="0" applyFont="1" applyBorder="1" applyAlignment="1" applyProtection="1">
      <alignment horizontal="left" vertical="center" wrapText="1"/>
    </xf>
    <xf numFmtId="0" fontId="28" fillId="0" borderId="31" xfId="0" applyFont="1" applyBorder="1" applyAlignment="1" applyProtection="1">
      <alignment horizontal="left" vertical="center" wrapText="1"/>
    </xf>
    <xf numFmtId="0" fontId="5" fillId="37" borderId="16" xfId="0" applyFont="1" applyFill="1" applyBorder="1" applyAlignment="1" applyProtection="1">
      <alignment horizontal="left" wrapText="1"/>
    </xf>
    <xf numFmtId="0" fontId="5" fillId="37" borderId="0" xfId="0" applyFont="1" applyFill="1" applyBorder="1" applyAlignment="1" applyProtection="1">
      <alignment horizontal="left" wrapText="1"/>
    </xf>
    <xf numFmtId="164" fontId="5" fillId="45" borderId="29" xfId="28" applyNumberFormat="1" applyFont="1" applyFill="1" applyBorder="1" applyAlignment="1" applyProtection="1">
      <alignment horizontal="right"/>
    </xf>
    <xf numFmtId="164" fontId="5" fillId="45" borderId="30" xfId="28" applyNumberFormat="1" applyFont="1" applyFill="1" applyBorder="1" applyAlignment="1" applyProtection="1">
      <alignment horizontal="right"/>
    </xf>
    <xf numFmtId="164" fontId="5" fillId="45" borderId="31" xfId="28" applyNumberFormat="1" applyFont="1" applyFill="1" applyBorder="1" applyAlignment="1" applyProtection="1">
      <alignment horizontal="right"/>
    </xf>
    <xf numFmtId="0" fontId="19" fillId="34" borderId="1" xfId="0" applyFont="1" applyFill="1" applyBorder="1" applyAlignment="1" applyProtection="1">
      <alignment horizontal="center" vertical="center" wrapText="1"/>
    </xf>
    <xf numFmtId="0" fontId="19" fillId="34" borderId="1" xfId="0" applyFont="1" applyFill="1" applyBorder="1" applyAlignment="1" applyProtection="1">
      <alignment horizontal="center" vertical="center"/>
    </xf>
    <xf numFmtId="0" fontId="16" fillId="0" borderId="3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50" fillId="0" borderId="0"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16" fillId="0" borderId="42"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19" fillId="34" borderId="37" xfId="0" applyFont="1" applyFill="1" applyBorder="1" applyAlignment="1" applyProtection="1">
      <alignment horizontal="center"/>
    </xf>
    <xf numFmtId="0" fontId="19" fillId="34" borderId="1" xfId="0" applyFont="1" applyFill="1" applyBorder="1" applyAlignment="1" applyProtection="1">
      <alignment horizontal="center"/>
    </xf>
    <xf numFmtId="0" fontId="29" fillId="36" borderId="37" xfId="0" applyFont="1" applyFill="1" applyBorder="1" applyAlignment="1" applyProtection="1">
      <alignment horizontal="center"/>
      <protection locked="0"/>
    </xf>
    <xf numFmtId="0" fontId="29" fillId="36" borderId="1" xfId="0" applyFont="1" applyFill="1" applyBorder="1" applyAlignment="1" applyProtection="1">
      <alignment horizontal="center"/>
      <protection locked="0"/>
    </xf>
    <xf numFmtId="0" fontId="33" fillId="0" borderId="0" xfId="0" applyFont="1" applyAlignment="1" applyProtection="1">
      <alignment horizontal="center" vertical="center"/>
    </xf>
    <xf numFmtId="0" fontId="54" fillId="34" borderId="1" xfId="0" applyFont="1" applyFill="1" applyBorder="1" applyAlignment="1" applyProtection="1">
      <alignment horizontal="center" vertical="center"/>
    </xf>
    <xf numFmtId="0" fontId="29" fillId="36" borderId="74" xfId="0" applyFont="1" applyFill="1" applyBorder="1" applyAlignment="1" applyProtection="1">
      <alignment horizontal="center"/>
      <protection locked="0"/>
    </xf>
    <xf numFmtId="0" fontId="29" fillId="36" borderId="7" xfId="0" applyFont="1" applyFill="1" applyBorder="1" applyAlignment="1" applyProtection="1">
      <alignment horizontal="center"/>
      <protection locked="0"/>
    </xf>
    <xf numFmtId="0" fontId="53" fillId="45" borderId="29" xfId="0" applyFont="1" applyFill="1" applyBorder="1" applyAlignment="1" applyProtection="1">
      <alignment horizontal="right" vertical="center" wrapText="1"/>
    </xf>
    <xf numFmtId="0" fontId="53" fillId="45" borderId="30" xfId="0" applyFont="1" applyFill="1" applyBorder="1" applyAlignment="1" applyProtection="1">
      <alignment horizontal="right" vertical="center" wrapText="1"/>
    </xf>
    <xf numFmtId="0" fontId="53" fillId="45" borderId="31" xfId="0" applyFont="1" applyFill="1" applyBorder="1" applyAlignment="1" applyProtection="1">
      <alignment horizontal="right" vertical="center" wrapText="1"/>
    </xf>
    <xf numFmtId="172" fontId="5" fillId="35" borderId="1" xfId="28" applyNumberFormat="1" applyFont="1" applyFill="1" applyBorder="1" applyAlignment="1" applyProtection="1">
      <alignment horizontal="center"/>
    </xf>
    <xf numFmtId="172" fontId="5" fillId="35" borderId="6" xfId="28" applyNumberFormat="1" applyFont="1" applyFill="1" applyBorder="1" applyAlignment="1" applyProtection="1">
      <alignment horizontal="center"/>
    </xf>
    <xf numFmtId="172" fontId="5" fillId="35" borderId="4" xfId="28" applyNumberFormat="1" applyFont="1" applyFill="1" applyBorder="1" applyAlignment="1" applyProtection="1">
      <alignment horizontal="center"/>
    </xf>
    <xf numFmtId="0" fontId="0" fillId="39" borderId="15" xfId="0" applyFill="1" applyBorder="1" applyAlignment="1" applyProtection="1">
      <alignment horizontal="center" vertical="center"/>
    </xf>
    <xf numFmtId="0" fontId="0" fillId="39" borderId="2" xfId="0" applyFill="1" applyBorder="1" applyAlignment="1" applyProtection="1">
      <alignment horizontal="center" vertical="center"/>
    </xf>
    <xf numFmtId="165" fontId="0" fillId="0" borderId="15" xfId="0" applyNumberFormat="1" applyBorder="1" applyAlignment="1" applyProtection="1">
      <alignment horizontal="left" vertical="center"/>
    </xf>
    <xf numFmtId="165" fontId="0" fillId="0" borderId="2" xfId="0" applyNumberFormat="1" applyBorder="1" applyAlignment="1" applyProtection="1">
      <alignment horizontal="left" vertical="center"/>
    </xf>
    <xf numFmtId="0" fontId="54" fillId="34" borderId="6" xfId="0" applyFont="1" applyFill="1" applyBorder="1" applyAlignment="1" applyProtection="1">
      <alignment horizontal="center"/>
    </xf>
    <xf numFmtId="0" fontId="54" fillId="34" borderId="4" xfId="0" applyFont="1" applyFill="1" applyBorder="1" applyAlignment="1" applyProtection="1">
      <alignment horizontal="center"/>
    </xf>
    <xf numFmtId="0" fontId="54" fillId="34" borderId="1" xfId="0" applyFont="1" applyFill="1" applyBorder="1" applyAlignment="1" applyProtection="1">
      <alignment horizontal="center"/>
    </xf>
    <xf numFmtId="172" fontId="5" fillId="35" borderId="5" xfId="28" applyNumberFormat="1" applyFont="1" applyFill="1" applyBorder="1" applyAlignment="1" applyProtection="1">
      <alignment horizontal="center"/>
    </xf>
    <xf numFmtId="3" fontId="0" fillId="0" borderId="57" xfId="0" applyNumberFormat="1" applyBorder="1" applyAlignment="1" applyProtection="1">
      <alignment horizontal="right" vertical="center"/>
    </xf>
    <xf numFmtId="3" fontId="0" fillId="0" borderId="59" xfId="0" applyNumberFormat="1" applyBorder="1" applyAlignment="1" applyProtection="1">
      <alignment horizontal="right" vertical="center"/>
    </xf>
    <xf numFmtId="0" fontId="22" fillId="0" borderId="15" xfId="0" applyFont="1" applyBorder="1" applyAlignment="1" applyProtection="1">
      <alignment horizontal="center" vertical="center"/>
    </xf>
    <xf numFmtId="0" fontId="0" fillId="0" borderId="2" xfId="0" applyBorder="1" applyAlignment="1" applyProtection="1">
      <alignment horizontal="center" vertical="center"/>
    </xf>
    <xf numFmtId="3" fontId="0" fillId="0" borderId="58" xfId="0" applyNumberFormat="1" applyBorder="1" applyAlignment="1" applyProtection="1">
      <alignment horizontal="left" vertical="center"/>
    </xf>
    <xf numFmtId="3" fontId="0" fillId="0" borderId="19" xfId="0" applyNumberFormat="1" applyBorder="1" applyAlignment="1" applyProtection="1">
      <alignment horizontal="left" vertical="center"/>
    </xf>
    <xf numFmtId="165" fontId="0" fillId="0" borderId="57" xfId="0" applyNumberFormat="1" applyBorder="1" applyAlignment="1" applyProtection="1">
      <alignment horizontal="right" vertical="center"/>
    </xf>
    <xf numFmtId="165" fontId="0" fillId="0" borderId="59" xfId="0" applyNumberFormat="1" applyBorder="1" applyAlignment="1" applyProtection="1">
      <alignment horizontal="right" vertical="center"/>
    </xf>
    <xf numFmtId="165" fontId="0" fillId="0" borderId="58" xfId="0" applyNumberFormat="1" applyBorder="1" applyAlignment="1" applyProtection="1">
      <alignment horizontal="left" vertical="center"/>
    </xf>
    <xf numFmtId="165" fontId="0" fillId="0" borderId="19" xfId="0" applyNumberFormat="1" applyBorder="1" applyAlignment="1" applyProtection="1">
      <alignment horizontal="left" vertical="center"/>
    </xf>
    <xf numFmtId="0" fontId="0" fillId="33" borderId="29" xfId="0" applyFill="1" applyBorder="1" applyAlignment="1" applyProtection="1">
      <alignment horizontal="center" vertical="center"/>
    </xf>
    <xf numFmtId="0" fontId="0" fillId="33" borderId="30" xfId="0" applyFill="1" applyBorder="1" applyAlignment="1" applyProtection="1">
      <alignment horizontal="center" vertical="center"/>
    </xf>
    <xf numFmtId="0" fontId="0" fillId="33" borderId="31" xfId="0" applyFill="1" applyBorder="1" applyAlignment="1" applyProtection="1">
      <alignment horizontal="center" vertical="center"/>
    </xf>
    <xf numFmtId="0" fontId="43" fillId="0" borderId="29" xfId="0" applyFont="1" applyBorder="1" applyAlignment="1" applyProtection="1">
      <alignment horizontal="left" vertical="center" wrapText="1"/>
    </xf>
    <xf numFmtId="0" fontId="43" fillId="0" borderId="30" xfId="0" applyFont="1" applyBorder="1" applyAlignment="1" applyProtection="1">
      <alignment horizontal="left" vertical="center" wrapText="1"/>
    </xf>
    <xf numFmtId="0" fontId="43" fillId="0" borderId="31" xfId="0" applyFont="1" applyBorder="1" applyAlignment="1" applyProtection="1">
      <alignment horizontal="left" vertical="center" wrapText="1"/>
    </xf>
    <xf numFmtId="0" fontId="0" fillId="36" borderId="2" xfId="0" applyFont="1" applyFill="1" applyBorder="1" applyAlignment="1" applyProtection="1">
      <alignment horizontal="center"/>
      <protection locked="0"/>
    </xf>
    <xf numFmtId="0" fontId="5" fillId="37" borderId="1" xfId="0" applyFont="1" applyFill="1" applyBorder="1" applyAlignment="1" applyProtection="1">
      <alignment horizontal="left" vertical="center" wrapText="1"/>
    </xf>
    <xf numFmtId="186" fontId="0" fillId="0" borderId="6" xfId="0" applyNumberFormat="1" applyBorder="1" applyAlignment="1" applyProtection="1">
      <alignment horizontal="center"/>
    </xf>
    <xf numFmtId="186" fontId="0" fillId="0" borderId="4" xfId="0" applyNumberFormat="1" applyBorder="1" applyAlignment="1" applyProtection="1">
      <alignment horizontal="center"/>
    </xf>
    <xf numFmtId="0" fontId="19" fillId="0" borderId="15" xfId="0" applyFont="1" applyBorder="1" applyAlignment="1" applyProtection="1">
      <alignment horizontal="left" vertical="top" wrapText="1"/>
    </xf>
    <xf numFmtId="0" fontId="5" fillId="35" borderId="6" xfId="0" applyFont="1" applyFill="1" applyBorder="1" applyAlignment="1" applyProtection="1">
      <alignment horizontal="right"/>
    </xf>
    <xf numFmtId="0" fontId="5" fillId="35" borderId="5" xfId="0" applyFont="1" applyFill="1" applyBorder="1" applyAlignment="1" applyProtection="1">
      <alignment horizontal="right"/>
    </xf>
    <xf numFmtId="0" fontId="5" fillId="35" borderId="4" xfId="0" applyFont="1" applyFill="1" applyBorder="1" applyAlignment="1" applyProtection="1">
      <alignment horizontal="right"/>
    </xf>
    <xf numFmtId="177" fontId="0" fillId="39" borderId="7" xfId="0" applyNumberFormat="1" applyFill="1" applyBorder="1" applyAlignment="1" applyProtection="1">
      <alignment horizontal="center" vertical="center"/>
    </xf>
    <xf numFmtId="177" fontId="0" fillId="39" borderId="3" xfId="0" applyNumberFormat="1" applyFill="1" applyBorder="1" applyAlignment="1" applyProtection="1">
      <alignment horizontal="center" vertical="center"/>
    </xf>
    <xf numFmtId="0" fontId="55" fillId="0" borderId="6" xfId="0" applyFont="1" applyFill="1" applyBorder="1" applyAlignment="1" applyProtection="1">
      <alignment horizontal="center"/>
    </xf>
    <xf numFmtId="0" fontId="55" fillId="0" borderId="4" xfId="0" applyFont="1" applyFill="1" applyBorder="1" applyAlignment="1" applyProtection="1">
      <alignment horizontal="center"/>
    </xf>
    <xf numFmtId="2" fontId="0" fillId="0" borderId="15" xfId="0" applyNumberFormat="1" applyBorder="1" applyAlignment="1" applyProtection="1">
      <alignment horizontal="left" vertical="center"/>
    </xf>
    <xf numFmtId="2" fontId="0" fillId="0" borderId="2" xfId="0" applyNumberFormat="1" applyBorder="1" applyAlignment="1" applyProtection="1">
      <alignment horizontal="left" vertical="center"/>
    </xf>
    <xf numFmtId="0" fontId="55" fillId="0" borderId="6" xfId="0" applyFont="1" applyFill="1" applyBorder="1" applyAlignment="1" applyProtection="1">
      <alignment horizontal="center" vertical="center"/>
    </xf>
    <xf numFmtId="0" fontId="55" fillId="0" borderId="4" xfId="0" applyFont="1" applyFill="1" applyBorder="1" applyAlignment="1" applyProtection="1">
      <alignment horizontal="center" vertical="center"/>
    </xf>
    <xf numFmtId="185" fontId="0" fillId="39" borderId="57" xfId="0" applyNumberFormat="1" applyFill="1" applyBorder="1" applyAlignment="1" applyProtection="1">
      <alignment horizontal="center" vertical="center"/>
    </xf>
    <xf numFmtId="185" fontId="0" fillId="39" borderId="58" xfId="0" applyNumberFormat="1" applyFill="1" applyBorder="1" applyAlignment="1" applyProtection="1">
      <alignment horizontal="center" vertical="center"/>
    </xf>
    <xf numFmtId="185" fontId="0" fillId="39" borderId="6" xfId="0" applyNumberFormat="1" applyFill="1" applyBorder="1" applyAlignment="1" applyProtection="1">
      <alignment horizontal="center" vertical="center"/>
    </xf>
    <xf numFmtId="185" fontId="0" fillId="39" borderId="4" xfId="0" applyNumberFormat="1" applyFill="1" applyBorder="1" applyAlignment="1" applyProtection="1">
      <alignment horizontal="center" vertical="center"/>
    </xf>
    <xf numFmtId="181" fontId="24" fillId="39" borderId="1" xfId="0" applyNumberFormat="1" applyFont="1" applyFill="1" applyBorder="1" applyAlignment="1" applyProtection="1">
      <alignment horizontal="center" vertical="center"/>
    </xf>
    <xf numFmtId="177" fontId="0" fillId="39" borderId="1" xfId="0" applyNumberForma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0" fillId="0" borderId="0" xfId="0" applyAlignment="1" applyProtection="1">
      <alignment horizontal="center" vertical="center"/>
    </xf>
    <xf numFmtId="0" fontId="16" fillId="0" borderId="1" xfId="0" applyFont="1" applyBorder="1" applyAlignment="1" applyProtection="1">
      <alignment horizontal="center" vertical="center" wrapText="1"/>
    </xf>
    <xf numFmtId="0" fontId="16" fillId="0" borderId="5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16" fillId="0" borderId="59"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39" borderId="33" xfId="0" applyFont="1" applyFill="1" applyBorder="1" applyAlignment="1" applyProtection="1">
      <alignment horizontal="center" vertical="center" wrapText="1"/>
    </xf>
    <xf numFmtId="0" fontId="16" fillId="39" borderId="3" xfId="0" applyFont="1" applyFill="1" applyBorder="1" applyAlignment="1" applyProtection="1">
      <alignment horizontal="center" vertical="center" wrapText="1"/>
    </xf>
    <xf numFmtId="0" fontId="16" fillId="0" borderId="34"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52"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3" xfId="0" applyFont="1" applyBorder="1" applyAlignment="1" applyProtection="1">
      <alignment horizontal="right" vertical="center"/>
    </xf>
    <xf numFmtId="0" fontId="16" fillId="0" borderId="3" xfId="0" applyFont="1" applyBorder="1" applyAlignment="1" applyProtection="1">
      <alignment horizontal="right" vertical="center"/>
    </xf>
    <xf numFmtId="0" fontId="19" fillId="41" borderId="81" xfId="0" applyFont="1" applyFill="1" applyBorder="1" applyAlignment="1" applyProtection="1">
      <alignment horizontal="center" vertical="center"/>
    </xf>
    <xf numFmtId="0" fontId="29" fillId="41" borderId="60" xfId="0" applyFont="1" applyFill="1" applyBorder="1" applyAlignment="1" applyProtection="1">
      <alignment horizontal="center" vertical="center"/>
    </xf>
    <xf numFmtId="0" fontId="29" fillId="36" borderId="35" xfId="0" applyFont="1" applyFill="1" applyBorder="1" applyAlignment="1" applyProtection="1">
      <alignment horizontal="center" vertical="center"/>
      <protection locked="0"/>
    </xf>
    <xf numFmtId="0" fontId="29" fillId="36" borderId="3" xfId="0" applyFont="1" applyFill="1" applyBorder="1" applyAlignment="1" applyProtection="1">
      <alignment horizontal="center" vertical="center"/>
      <protection locked="0"/>
    </xf>
    <xf numFmtId="0" fontId="29" fillId="0" borderId="63" xfId="0" applyFont="1" applyBorder="1" applyAlignment="1" applyProtection="1">
      <alignment horizontal="center" vertical="center"/>
    </xf>
    <xf numFmtId="0" fontId="29" fillId="0" borderId="64" xfId="0" applyFont="1" applyBorder="1" applyAlignment="1" applyProtection="1">
      <alignment horizontal="center" vertical="center"/>
    </xf>
    <xf numFmtId="0" fontId="29" fillId="36" borderId="37" xfId="0" applyFont="1" applyFill="1" applyBorder="1" applyAlignment="1" applyProtection="1">
      <alignment horizontal="center" vertical="center"/>
      <protection locked="0"/>
    </xf>
    <xf numFmtId="0" fontId="29" fillId="36" borderId="1" xfId="0" applyFont="1" applyFill="1" applyBorder="1" applyAlignment="1" applyProtection="1">
      <alignment horizontal="center" vertical="center"/>
      <protection locked="0"/>
    </xf>
    <xf numFmtId="0" fontId="29" fillId="0" borderId="6"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36" borderId="74" xfId="0" applyFont="1" applyFill="1" applyBorder="1" applyAlignment="1" applyProtection="1">
      <alignment horizontal="center" vertical="center"/>
      <protection locked="0"/>
    </xf>
    <xf numFmtId="0" fontId="29" fillId="36" borderId="7" xfId="0" applyFont="1" applyFill="1" applyBorder="1" applyAlignment="1" applyProtection="1">
      <alignment horizontal="center" vertical="center"/>
      <protection locked="0"/>
    </xf>
    <xf numFmtId="0" fontId="29" fillId="0" borderId="57" xfId="0" applyFont="1" applyBorder="1" applyAlignment="1" applyProtection="1">
      <alignment horizontal="center" vertical="center"/>
    </xf>
    <xf numFmtId="0" fontId="29" fillId="0" borderId="58" xfId="0" applyFont="1" applyBorder="1" applyAlignment="1" applyProtection="1">
      <alignment horizontal="center" vertical="center"/>
    </xf>
    <xf numFmtId="0" fontId="2" fillId="35" borderId="1" xfId="0" applyFont="1" applyFill="1" applyBorder="1" applyAlignment="1" applyProtection="1">
      <alignment horizontal="right"/>
    </xf>
    <xf numFmtId="0" fontId="28" fillId="39" borderId="13" xfId="0" applyFont="1" applyFill="1" applyBorder="1" applyAlignment="1" applyProtection="1">
      <alignment horizontal="left" vertical="center" wrapText="1"/>
    </xf>
    <xf numFmtId="0" fontId="28" fillId="39" borderId="14" xfId="0" applyFont="1" applyFill="1" applyBorder="1" applyAlignment="1" applyProtection="1">
      <alignment horizontal="left" vertical="center" wrapText="1"/>
    </xf>
    <xf numFmtId="0" fontId="5" fillId="45" borderId="45" xfId="0" applyFont="1" applyFill="1" applyBorder="1" applyAlignment="1" applyProtection="1">
      <alignment horizontal="right" vertical="center"/>
    </xf>
    <xf numFmtId="0" fontId="5" fillId="45" borderId="46" xfId="0" applyFont="1" applyFill="1" applyBorder="1" applyAlignment="1" applyProtection="1">
      <alignment horizontal="right" vertical="center"/>
    </xf>
    <xf numFmtId="0" fontId="5" fillId="45" borderId="47" xfId="0" applyFont="1" applyFill="1" applyBorder="1" applyAlignment="1" applyProtection="1">
      <alignment horizontal="right" vertical="center"/>
    </xf>
    <xf numFmtId="0" fontId="5" fillId="37" borderId="1" xfId="0" applyFont="1" applyFill="1" applyBorder="1" applyAlignment="1" applyProtection="1">
      <alignment horizontal="left" wrapText="1"/>
    </xf>
    <xf numFmtId="0" fontId="0" fillId="0" borderId="1" xfId="0" applyBorder="1" applyAlignment="1" applyProtection="1">
      <alignment horizontal="center" vertical="center" wrapText="1"/>
    </xf>
    <xf numFmtId="0" fontId="0" fillId="0" borderId="0" xfId="0" applyAlignment="1" applyProtection="1">
      <alignment horizontal="left" vertical="top"/>
    </xf>
    <xf numFmtId="0" fontId="0" fillId="0" borderId="0" xfId="0" applyAlignment="1" applyProtection="1">
      <alignment horizontal="left" vertical="top" wrapText="1"/>
    </xf>
    <xf numFmtId="0" fontId="35" fillId="39" borderId="0" xfId="0" applyFont="1" applyFill="1" applyAlignment="1" applyProtection="1">
      <alignment horizontal="left" vertical="top"/>
    </xf>
    <xf numFmtId="0" fontId="2" fillId="35" borderId="1" xfId="0" applyFont="1" applyFill="1" applyBorder="1" applyAlignment="1" applyProtection="1">
      <alignment horizontal="center" vertical="center"/>
    </xf>
    <xf numFmtId="0" fontId="0" fillId="0" borderId="0" xfId="0" applyAlignment="1" applyProtection="1">
      <alignment horizontal="left" vertical="center" wrapText="1"/>
    </xf>
    <xf numFmtId="0" fontId="32" fillId="0" borderId="0" xfId="0" applyFont="1" applyAlignment="1" applyProtection="1">
      <alignment horizontal="center" vertical="center"/>
    </xf>
    <xf numFmtId="0" fontId="29" fillId="0" borderId="7" xfId="0" applyFont="1" applyBorder="1" applyAlignment="1" applyProtection="1">
      <alignment horizontal="right" vertical="center" wrapText="1"/>
    </xf>
    <xf numFmtId="44" fontId="29" fillId="0" borderId="7" xfId="28" applyFont="1" applyBorder="1" applyAlignment="1" applyProtection="1">
      <alignment horizontal="center" vertical="center" wrapText="1"/>
    </xf>
    <xf numFmtId="0" fontId="47" fillId="0" borderId="30" xfId="0" applyFont="1" applyBorder="1" applyAlignment="1" applyProtection="1">
      <alignment horizontal="left" vertical="center" wrapText="1"/>
    </xf>
    <xf numFmtId="0" fontId="47" fillId="0" borderId="31" xfId="0" applyFont="1" applyBorder="1" applyAlignment="1" applyProtection="1">
      <alignment horizontal="left" vertical="center" wrapText="1"/>
    </xf>
    <xf numFmtId="0" fontId="5" fillId="37" borderId="1" xfId="0" applyFont="1" applyFill="1" applyBorder="1" applyAlignment="1" applyProtection="1">
      <alignment horizontal="center" vertical="center" wrapText="1"/>
    </xf>
    <xf numFmtId="0" fontId="45" fillId="36" borderId="1"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indent="1"/>
    </xf>
    <xf numFmtId="0" fontId="5" fillId="45" borderId="45" xfId="0" applyFont="1" applyFill="1" applyBorder="1" applyAlignment="1" applyProtection="1">
      <alignment horizontal="right" vertical="center" wrapText="1"/>
    </xf>
    <xf numFmtId="0" fontId="5" fillId="45" borderId="47" xfId="0" applyFont="1" applyFill="1" applyBorder="1" applyAlignment="1" applyProtection="1">
      <alignment horizontal="right" vertical="center" wrapText="1"/>
    </xf>
    <xf numFmtId="44" fontId="16" fillId="38" borderId="45" xfId="0" applyNumberFormat="1" applyFont="1" applyFill="1" applyBorder="1" applyAlignment="1" applyProtection="1">
      <alignment horizontal="center" vertical="center" wrapText="1"/>
    </xf>
    <xf numFmtId="0" fontId="16" fillId="38" borderId="47" xfId="0" applyFont="1" applyFill="1" applyBorder="1" applyAlignment="1" applyProtection="1">
      <alignment horizontal="center" vertical="center" wrapText="1"/>
    </xf>
    <xf numFmtId="0" fontId="37" fillId="0" borderId="0" xfId="0" applyFont="1" applyAlignment="1" applyProtection="1">
      <alignment horizontal="center" vertical="center" wrapText="1"/>
    </xf>
    <xf numFmtId="0" fontId="29" fillId="0" borderId="1" xfId="0" applyFont="1" applyBorder="1" applyAlignment="1" applyProtection="1">
      <alignment horizontal="right" vertical="center" wrapText="1"/>
    </xf>
    <xf numFmtId="44" fontId="29" fillId="36" borderId="1" xfId="28" applyFont="1" applyFill="1" applyBorder="1" applyAlignment="1" applyProtection="1">
      <alignment horizontal="center" vertical="center" wrapText="1"/>
      <protection locked="0"/>
    </xf>
    <xf numFmtId="9" fontId="29" fillId="0" borderId="1" xfId="44" applyFont="1" applyFill="1" applyBorder="1" applyAlignment="1" applyProtection="1">
      <alignment horizontal="right" vertical="center" wrapText="1"/>
    </xf>
    <xf numFmtId="0" fontId="29" fillId="0" borderId="0" xfId="0" applyFont="1" applyAlignment="1" applyProtection="1">
      <alignment horizontal="left" vertical="center" wrapText="1"/>
    </xf>
    <xf numFmtId="0" fontId="5" fillId="37" borderId="0" xfId="0" applyFont="1" applyFill="1" applyAlignment="1" applyProtection="1">
      <alignment horizontal="left" vertical="center" wrapText="1"/>
    </xf>
    <xf numFmtId="0" fontId="0" fillId="33" borderId="29" xfId="0" applyFill="1" applyBorder="1" applyAlignment="1" applyProtection="1">
      <alignment horizontal="center" vertical="center" wrapText="1"/>
    </xf>
    <xf numFmtId="0" fontId="0" fillId="33" borderId="31" xfId="0" applyFill="1" applyBorder="1" applyAlignment="1" applyProtection="1">
      <alignment horizontal="center" vertical="center" wrapText="1"/>
    </xf>
    <xf numFmtId="0" fontId="5" fillId="45" borderId="29" xfId="0" applyFont="1" applyFill="1" applyBorder="1" applyAlignment="1" applyProtection="1">
      <alignment horizontal="right" vertical="center" wrapText="1"/>
    </xf>
    <xf numFmtId="0" fontId="5" fillId="45" borderId="30" xfId="0" applyFont="1" applyFill="1" applyBorder="1" applyAlignment="1" applyProtection="1">
      <alignment horizontal="right" vertical="center" wrapText="1"/>
    </xf>
    <xf numFmtId="0" fontId="5" fillId="45" borderId="31" xfId="0" applyFont="1" applyFill="1" applyBorder="1" applyAlignment="1" applyProtection="1">
      <alignment horizontal="right" vertical="center" wrapText="1"/>
    </xf>
    <xf numFmtId="0" fontId="0" fillId="39" borderId="8" xfId="0" applyFill="1" applyBorder="1" applyAlignment="1">
      <alignment horizontal="center" vertical="center"/>
    </xf>
    <xf numFmtId="0" fontId="0" fillId="39" borderId="12" xfId="0" applyFill="1" applyBorder="1" applyAlignment="1">
      <alignment horizontal="center" vertical="center"/>
    </xf>
    <xf numFmtId="180" fontId="0" fillId="39" borderId="32" xfId="0" applyNumberFormat="1" applyFill="1" applyBorder="1" applyAlignment="1">
      <alignment horizontal="center" vertical="center"/>
    </xf>
    <xf numFmtId="180" fontId="0" fillId="39" borderId="66" xfId="0" applyNumberFormat="1" applyFill="1" applyBorder="1" applyAlignment="1">
      <alignment horizontal="center" vertical="center"/>
    </xf>
    <xf numFmtId="180" fontId="0" fillId="39" borderId="34" xfId="0" applyNumberFormat="1" applyFill="1" applyBorder="1" applyAlignment="1">
      <alignment horizontal="center" vertical="center"/>
    </xf>
    <xf numFmtId="180" fontId="0" fillId="39" borderId="67" xfId="0" applyNumberFormat="1" applyFill="1" applyBorder="1" applyAlignment="1">
      <alignment horizontal="center" vertical="center"/>
    </xf>
    <xf numFmtId="0" fontId="36" fillId="43" borderId="6" xfId="0" applyFont="1" applyFill="1" applyBorder="1" applyAlignment="1">
      <alignment horizontal="center"/>
    </xf>
    <xf numFmtId="0" fontId="36" fillId="43" borderId="5" xfId="0" applyFont="1" applyFill="1" applyBorder="1" applyAlignment="1">
      <alignment horizontal="center"/>
    </xf>
    <xf numFmtId="0" fontId="36" fillId="43" borderId="4" xfId="0" applyFont="1" applyFill="1" applyBorder="1" applyAlignment="1">
      <alignment horizontal="center"/>
    </xf>
    <xf numFmtId="0" fontId="0" fillId="39" borderId="49" xfId="0" applyFill="1" applyBorder="1" applyAlignment="1">
      <alignment horizontal="center" vertical="center"/>
    </xf>
    <xf numFmtId="0" fontId="0" fillId="39" borderId="50" xfId="0" applyFill="1" applyBorder="1" applyAlignment="1">
      <alignment horizontal="center" vertical="center"/>
    </xf>
    <xf numFmtId="0" fontId="2" fillId="35" borderId="1" xfId="0" applyFont="1" applyFill="1" applyBorder="1" applyAlignment="1">
      <alignment horizontal="center"/>
    </xf>
    <xf numFmtId="177" fontId="0" fillId="39" borderId="8" xfId="0" applyNumberFormat="1" applyFill="1" applyBorder="1" applyAlignment="1">
      <alignment horizontal="center" vertical="center"/>
    </xf>
    <xf numFmtId="177" fontId="0" fillId="39" borderId="10" xfId="0" applyNumberFormat="1" applyFill="1" applyBorder="1" applyAlignment="1">
      <alignment horizontal="center" vertical="center"/>
    </xf>
    <xf numFmtId="177" fontId="0" fillId="39" borderId="12" xfId="0" applyNumberFormat="1" applyFill="1" applyBorder="1" applyAlignment="1">
      <alignment horizontal="center" vertical="center"/>
    </xf>
    <xf numFmtId="177" fontId="0" fillId="39" borderId="14" xfId="0" applyNumberFormat="1" applyFill="1" applyBorder="1" applyAlignment="1">
      <alignment horizontal="center" vertical="center"/>
    </xf>
    <xf numFmtId="181" fontId="24" fillId="39" borderId="12" xfId="0" applyNumberFormat="1" applyFont="1" applyFill="1" applyBorder="1" applyAlignment="1">
      <alignment horizontal="center" vertical="center"/>
    </xf>
    <xf numFmtId="181" fontId="24" fillId="39" borderId="14" xfId="0" applyNumberFormat="1" applyFont="1" applyFill="1" applyBorder="1" applyAlignment="1">
      <alignment horizontal="center" vertical="center"/>
    </xf>
    <xf numFmtId="177" fontId="0" fillId="39" borderId="8" xfId="0" applyNumberFormat="1" applyFill="1" applyBorder="1" applyAlignment="1">
      <alignment horizontal="center"/>
    </xf>
    <xf numFmtId="177" fontId="0" fillId="39" borderId="10" xfId="0" applyNumberFormat="1" applyFill="1" applyBorder="1" applyAlignment="1">
      <alignment horizontal="center"/>
    </xf>
    <xf numFmtId="0" fontId="33" fillId="0" borderId="15" xfId="0" applyFont="1" applyBorder="1" applyAlignment="1">
      <alignment horizontal="left" vertical="top" wrapText="1"/>
    </xf>
    <xf numFmtId="0" fontId="0" fillId="39" borderId="10" xfId="0" applyFill="1" applyBorder="1" applyAlignment="1">
      <alignment horizontal="center" vertical="center"/>
    </xf>
    <xf numFmtId="0" fontId="0" fillId="39" borderId="14" xfId="0" applyFill="1"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xf>
    <xf numFmtId="177" fontId="2" fillId="35" borderId="1" xfId="0" applyNumberFormat="1" applyFont="1" applyFill="1" applyBorder="1" applyAlignment="1">
      <alignment horizontal="center"/>
    </xf>
    <xf numFmtId="0" fontId="16" fillId="42" borderId="1" xfId="0" applyFont="1" applyFill="1" applyBorder="1" applyAlignment="1">
      <alignment horizontal="left" vertical="top"/>
    </xf>
    <xf numFmtId="0" fontId="0" fillId="0" borderId="0" xfId="0" applyAlignment="1">
      <alignment horizontal="left" vertical="top" wrapText="1"/>
    </xf>
    <xf numFmtId="0" fontId="32" fillId="0" borderId="15" xfId="0" applyFont="1" applyBorder="1" applyAlignment="1">
      <alignment horizontal="left"/>
    </xf>
    <xf numFmtId="0" fontId="32" fillId="0" borderId="0" xfId="0" applyFont="1" applyAlignment="1">
      <alignment horizontal="left" vertical="top" wrapText="1"/>
    </xf>
    <xf numFmtId="0" fontId="0" fillId="0" borderId="40" xfId="0" applyBorder="1" applyAlignment="1" applyProtection="1">
      <alignment horizontal="center" vertical="center"/>
    </xf>
    <xf numFmtId="165" fontId="0" fillId="0" borderId="39" xfId="0" applyNumberFormat="1" applyBorder="1" applyAlignment="1" applyProtection="1">
      <alignment horizontal="right" vertical="center"/>
    </xf>
    <xf numFmtId="165" fontId="0" fillId="0" borderId="41" xfId="0" applyNumberFormat="1" applyBorder="1" applyAlignment="1" applyProtection="1">
      <alignment horizontal="right" vertical="center"/>
    </xf>
    <xf numFmtId="0" fontId="59" fillId="34" borderId="1" xfId="0" applyFont="1" applyFill="1" applyBorder="1" applyAlignment="1" applyProtection="1">
      <alignment horizontal="center" vertical="center"/>
    </xf>
    <xf numFmtId="166" fontId="19" fillId="34" borderId="3" xfId="28" applyNumberFormat="1" applyFont="1" applyFill="1" applyBorder="1" applyAlignment="1" applyProtection="1">
      <alignment horizontal="center"/>
    </xf>
    <xf numFmtId="44" fontId="19" fillId="34" borderId="38" xfId="0" applyNumberFormat="1" applyFont="1" applyFill="1" applyBorder="1" applyAlignment="1" applyProtection="1">
      <alignment horizontal="center"/>
    </xf>
    <xf numFmtId="0" fontId="0" fillId="0" borderId="76" xfId="0" applyFont="1" applyBorder="1" applyProtection="1"/>
    <xf numFmtId="0" fontId="0" fillId="0" borderId="77" xfId="0" applyFont="1" applyBorder="1" applyProtection="1"/>
    <xf numFmtId="0" fontId="0" fillId="0" borderId="83" xfId="0" applyFont="1" applyBorder="1" applyProtection="1"/>
    <xf numFmtId="0" fontId="5" fillId="35" borderId="48" xfId="0" applyFont="1" applyFill="1" applyBorder="1" applyProtection="1"/>
    <xf numFmtId="0" fontId="0" fillId="0" borderId="36" xfId="0" applyBorder="1" applyAlignment="1" applyProtection="1">
      <alignment horizontal="center" vertical="center"/>
    </xf>
    <xf numFmtId="0" fontId="5" fillId="35" borderId="45" xfId="0" applyFont="1" applyFill="1" applyBorder="1" applyAlignment="1" applyProtection="1">
      <alignment horizontal="center" vertical="center"/>
    </xf>
    <xf numFmtId="0" fontId="5" fillId="35" borderId="47" xfId="0" applyFont="1" applyFill="1" applyBorder="1" applyAlignment="1" applyProtection="1">
      <alignment horizontal="center" vertical="center"/>
    </xf>
    <xf numFmtId="49" fontId="29" fillId="0" borderId="1" xfId="0" applyNumberFormat="1" applyFont="1" applyBorder="1" applyAlignment="1" applyProtection="1">
      <alignment horizontal="left" vertical="center" wrapText="1"/>
    </xf>
    <xf numFmtId="167" fontId="29" fillId="0" borderId="1" xfId="0" applyNumberFormat="1" applyFont="1" applyBorder="1" applyAlignment="1" applyProtection="1">
      <alignment horizontal="left" vertical="center"/>
    </xf>
    <xf numFmtId="49" fontId="29" fillId="0" borderId="1" xfId="0" applyNumberFormat="1" applyFont="1" applyBorder="1" applyAlignment="1" applyProtection="1">
      <alignment horizontal="left" vertical="center"/>
    </xf>
    <xf numFmtId="168" fontId="29" fillId="0" borderId="1" xfId="0" applyNumberFormat="1" applyFont="1" applyBorder="1" applyAlignment="1" applyProtection="1">
      <alignment horizontal="left" vertical="center"/>
    </xf>
    <xf numFmtId="169" fontId="29" fillId="0" borderId="1" xfId="0" applyNumberFormat="1" applyFont="1" applyBorder="1" applyAlignment="1" applyProtection="1">
      <alignment horizontal="left" vertical="center"/>
    </xf>
    <xf numFmtId="170" fontId="29" fillId="0" borderId="1" xfId="0" applyNumberFormat="1" applyFont="1" applyBorder="1" applyAlignment="1" applyProtection="1">
      <alignment horizontal="left" vertical="center"/>
    </xf>
    <xf numFmtId="0" fontId="56" fillId="0" borderId="1" xfId="0" applyFont="1" applyBorder="1" applyAlignment="1" applyProtection="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45"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4" builtinId="5"/>
    <cellStyle name="Title 2" xfId="40" xr:uid="{00000000-0005-0000-0000-000029000000}"/>
    <cellStyle name="Total" xfId="41" builtinId="25" customBuiltin="1"/>
    <cellStyle name="Warning Text" xfId="42" builtinId="11" customBuiltin="1"/>
  </cellStyles>
  <dxfs count="16">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C00000"/>
        </patternFill>
      </fill>
    </dxf>
    <dxf>
      <fill>
        <patternFill>
          <bgColor rgb="FF92D050"/>
        </patternFill>
      </fill>
    </dxf>
    <dxf>
      <fill>
        <patternFill>
          <bgColor rgb="FFFF0000"/>
        </patternFill>
      </fill>
    </dxf>
    <dxf>
      <fill>
        <patternFill>
          <bgColor rgb="FFFF0000"/>
        </patternFill>
      </fill>
    </dxf>
    <dxf>
      <font>
        <color theme="0"/>
      </font>
      <fill>
        <patternFill patternType="none">
          <bgColor auto="1"/>
        </patternFill>
      </fill>
      <border>
        <left/>
        <right/>
        <top style="thin">
          <color auto="1"/>
        </top>
        <bottom/>
        <vertical/>
        <horizontal/>
      </border>
    </dxf>
    <dxf>
      <fill>
        <patternFill>
          <bgColor theme="9"/>
        </patternFill>
      </fill>
    </dxf>
    <dxf>
      <fill>
        <patternFill>
          <bgColor rgb="FFFF0000"/>
        </patternFill>
      </fill>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ont>
        <b val="0"/>
        <i/>
        <color theme="1" tint="0.499984740745262"/>
      </font>
    </dxf>
    <dxf>
      <font>
        <b val="0"/>
        <i/>
        <color theme="1"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Y$2"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1</xdr:col>
      <xdr:colOff>1023366</xdr:colOff>
      <xdr:row>0</xdr:row>
      <xdr:rowOff>1011555</xdr:rowOff>
    </xdr:to>
    <xdr:pic>
      <xdr:nvPicPr>
        <xdr:cNvPr id="3" name="Picture 2">
          <a:extLst>
            <a:ext uri="{FF2B5EF4-FFF2-40B4-BE49-F238E27FC236}">
              <a16:creationId xmlns:a16="http://schemas.microsoft.com/office/drawing/2014/main" id="{069692A4-0EEB-4279-B6E1-43F8E462D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9050"/>
          <a:ext cx="992886" cy="988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26690</xdr:colOff>
      <xdr:row>0</xdr:row>
      <xdr:rowOff>26648</xdr:rowOff>
    </xdr:from>
    <xdr:to>
      <xdr:col>3</xdr:col>
      <xdr:colOff>804067</xdr:colOff>
      <xdr:row>0</xdr:row>
      <xdr:rowOff>650133</xdr:rowOff>
    </xdr:to>
    <xdr:pic>
      <xdr:nvPicPr>
        <xdr:cNvPr id="1207" name="Picture 3">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8615" y="26648"/>
          <a:ext cx="2834777" cy="62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xdr:colOff>
      <xdr:row>0</xdr:row>
      <xdr:rowOff>34290</xdr:rowOff>
    </xdr:from>
    <xdr:to>
      <xdr:col>4</xdr:col>
      <xdr:colOff>689747</xdr:colOff>
      <xdr:row>0</xdr:row>
      <xdr:rowOff>644440</xdr:rowOff>
    </xdr:to>
    <xdr:pic>
      <xdr:nvPicPr>
        <xdr:cNvPr id="3" name="Picture 3">
          <a:extLst>
            <a:ext uri="{FF2B5EF4-FFF2-40B4-BE49-F238E27FC236}">
              <a16:creationId xmlns:a16="http://schemas.microsoft.com/office/drawing/2014/main" id="{3C1DE2E9-2C9C-44F4-964C-B280B324EA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2880" y="34290"/>
          <a:ext cx="2853827" cy="61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xdr:row>
          <xdr:rowOff>0</xdr:rowOff>
        </xdr:from>
        <xdr:to>
          <xdr:col>8</xdr:col>
          <xdr:colOff>247650</xdr:colOff>
          <xdr:row>2</xdr:row>
          <xdr:rowOff>171450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xdr:row>
          <xdr:rowOff>0</xdr:rowOff>
        </xdr:from>
        <xdr:to>
          <xdr:col>8</xdr:col>
          <xdr:colOff>247650</xdr:colOff>
          <xdr:row>3</xdr:row>
          <xdr:rowOff>171450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76200</xdr:colOff>
      <xdr:row>0</xdr:row>
      <xdr:rowOff>28575</xdr:rowOff>
    </xdr:from>
    <xdr:to>
      <xdr:col>2</xdr:col>
      <xdr:colOff>1169807</xdr:colOff>
      <xdr:row>0</xdr:row>
      <xdr:rowOff>652060</xdr:rowOff>
    </xdr:to>
    <xdr:pic>
      <xdr:nvPicPr>
        <xdr:cNvPr id="3" name="Picture 3">
          <a:extLst>
            <a:ext uri="{FF2B5EF4-FFF2-40B4-BE49-F238E27FC236}">
              <a16:creationId xmlns:a16="http://schemas.microsoft.com/office/drawing/2014/main" id="{2CB4D31A-FD25-4C58-91D8-C06A38BC5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5" y="28575"/>
          <a:ext cx="2834777" cy="62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1</xdr:col>
      <xdr:colOff>2861447</xdr:colOff>
      <xdr:row>0</xdr:row>
      <xdr:rowOff>652060</xdr:rowOff>
    </xdr:to>
    <xdr:pic>
      <xdr:nvPicPr>
        <xdr:cNvPr id="3" name="Picture 3">
          <a:extLst>
            <a:ext uri="{FF2B5EF4-FFF2-40B4-BE49-F238E27FC236}">
              <a16:creationId xmlns:a16="http://schemas.microsoft.com/office/drawing/2014/main" id="{5C6BC67A-ED54-4CB1-80D2-A259B4D00C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28575"/>
          <a:ext cx="2834777" cy="62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36195</xdr:rowOff>
    </xdr:from>
    <xdr:to>
      <xdr:col>2</xdr:col>
      <xdr:colOff>1291727</xdr:colOff>
      <xdr:row>0</xdr:row>
      <xdr:rowOff>652060</xdr:rowOff>
    </xdr:to>
    <xdr:pic>
      <xdr:nvPicPr>
        <xdr:cNvPr id="3" name="Picture 3">
          <a:extLst>
            <a:ext uri="{FF2B5EF4-FFF2-40B4-BE49-F238E27FC236}">
              <a16:creationId xmlns:a16="http://schemas.microsoft.com/office/drawing/2014/main" id="{9FCF9E01-0FED-4A86-9EB9-A5735B64E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360" y="36195"/>
          <a:ext cx="2830967" cy="615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7D0C-AD6D-4DC6-97CB-2FEFF25A7341}">
  <sheetPr>
    <tabColor theme="6" tint="0.39997558519241921"/>
  </sheetPr>
  <dimension ref="B1:H13"/>
  <sheetViews>
    <sheetView showGridLines="0" tabSelected="1" zoomScaleNormal="100" workbookViewId="0">
      <selection activeCell="D3" sqref="D3"/>
    </sheetView>
  </sheetViews>
  <sheetFormatPr defaultRowHeight="15" x14ac:dyDescent="0.25"/>
  <cols>
    <col min="1" max="1" width="2.7109375" style="2" customWidth="1"/>
    <col min="2" max="2" width="15.7109375" style="2" customWidth="1"/>
    <col min="3" max="3" width="16.5703125" style="2" customWidth="1"/>
    <col min="4" max="4" width="25.7109375" style="2" customWidth="1"/>
    <col min="5" max="5" width="22.140625" style="2" bestFit="1" customWidth="1"/>
    <col min="6" max="6" width="25.7109375" style="2" customWidth="1"/>
    <col min="7" max="7" width="9.140625" style="2"/>
    <col min="8" max="8" width="2.7109375" style="2" customWidth="1"/>
    <col min="9" max="16384" width="9.140625" style="2"/>
  </cols>
  <sheetData>
    <row r="1" spans="2:8" ht="81" customHeight="1" thickBot="1" x14ac:dyDescent="0.3">
      <c r="B1" s="190"/>
      <c r="C1" s="397" t="s">
        <v>301</v>
      </c>
      <c r="D1" s="398"/>
      <c r="E1" s="398"/>
      <c r="F1" s="398"/>
      <c r="G1" s="399"/>
      <c r="H1" s="188"/>
    </row>
    <row r="3" spans="2:8" x14ac:dyDescent="0.25">
      <c r="C3" s="49" t="s">
        <v>0</v>
      </c>
      <c r="D3" s="185"/>
      <c r="E3" s="49" t="s">
        <v>6</v>
      </c>
      <c r="F3" s="185"/>
    </row>
    <row r="4" spans="2:8" x14ac:dyDescent="0.25">
      <c r="C4" s="49" t="s">
        <v>300</v>
      </c>
      <c r="D4" s="189"/>
      <c r="F4" s="186"/>
    </row>
    <row r="5" spans="2:8" x14ac:dyDescent="0.25">
      <c r="C5" s="49" t="s">
        <v>1</v>
      </c>
      <c r="D5" s="189"/>
    </row>
    <row r="8" spans="2:8" x14ac:dyDescent="0.25">
      <c r="B8" s="384"/>
      <c r="C8" s="384"/>
      <c r="D8" s="384"/>
      <c r="E8" s="196" t="s">
        <v>308</v>
      </c>
      <c r="F8" s="187"/>
      <c r="G8" s="187"/>
    </row>
    <row r="9" spans="2:8" x14ac:dyDescent="0.25">
      <c r="B9" s="385"/>
      <c r="C9" s="385"/>
      <c r="D9" s="386" t="s">
        <v>309</v>
      </c>
      <c r="E9" s="387">
        <f>Chiller!M20</f>
        <v>0</v>
      </c>
    </row>
    <row r="10" spans="2:8" x14ac:dyDescent="0.25">
      <c r="B10" s="385"/>
      <c r="C10" s="385"/>
      <c r="D10" s="386" t="s">
        <v>313</v>
      </c>
      <c r="E10" s="387">
        <f>AC_HP!P23</f>
        <v>0</v>
      </c>
    </row>
    <row r="11" spans="2:8" x14ac:dyDescent="0.25">
      <c r="B11" s="385"/>
      <c r="C11" s="385"/>
      <c r="D11" s="386" t="s">
        <v>312</v>
      </c>
      <c r="E11" s="387">
        <f>IVRF!T22</f>
        <v>0</v>
      </c>
    </row>
    <row r="12" spans="2:8" x14ac:dyDescent="0.25">
      <c r="B12" s="385"/>
      <c r="C12" s="385"/>
      <c r="D12" s="386" t="s">
        <v>310</v>
      </c>
      <c r="E12" s="387">
        <f>GuestRoomEMS!E8</f>
        <v>0</v>
      </c>
    </row>
    <row r="13" spans="2:8" x14ac:dyDescent="0.25">
      <c r="B13" s="388"/>
      <c r="C13" s="388"/>
      <c r="D13" s="386" t="s">
        <v>311</v>
      </c>
      <c r="E13" s="387">
        <f>VFD!K16</f>
        <v>0</v>
      </c>
    </row>
  </sheetData>
  <sheetProtection algorithmName="SHA-512" hashValue="PQVjLvOgJD+Y6MklaQajMKWsj1D64gDXGJ1uNmDH2/1IuziG//xE/5hlj2zet6k/dSJDNxq0qfoiKPBXUpc5VQ==" saltValue="l3IxKt9AF1mrhhiJzMlnUg==" spinCount="100000" sheet="1" objects="1" scenarios="1" selectLockedCells="1"/>
  <mergeCells count="1">
    <mergeCell ref="C1:G1"/>
  </mergeCells>
  <hyperlinks>
    <hyperlink ref="B9:D9" location="Chiller!A1" display="Chillers" xr:uid="{F88E17CD-2388-43CE-BBDA-245A4464E9DD}"/>
    <hyperlink ref="B10:D10" location="AC_HP!A1" display="Air Conditioners &amp; Heat Pumps" xr:uid="{0E681DE6-AC96-493A-A9A1-6D0BEAA58822}"/>
    <hyperlink ref="B11:D11" location="IVRF!A1" display="Inverter-driven Variable Refrigerant Flow (IVRF)" xr:uid="{C67B61A5-B748-4526-9AF7-CD56CA71B21E}"/>
    <hyperlink ref="B12:D12" location="GuestRoomEMS!A1" display="Guest Room EMS" xr:uid="{45E4D2DE-D388-4579-89DE-0BF710AB41A5}"/>
    <hyperlink ref="D13" location="VFD!A1" display="Variable Frequency Drive (VFD)" xr:uid="{1EDF3D9D-3685-429F-982A-850DEA8D3C53}"/>
    <hyperlink ref="D9" location="Chiller!A1" display="Chillers" xr:uid="{8FEDB944-4C9F-4CF2-A785-D194A9590C61}"/>
    <hyperlink ref="D10" location="AC_HP!A1" display="Air Conditioners &amp; Heat Pumps" xr:uid="{1B1A2462-9D59-4426-B487-A3BC598E3B97}"/>
    <hyperlink ref="D11" location="IVRF!A1" display="Inverter-driven Variable Refrigerant Flow (IVRF)" xr:uid="{F5ACD494-C189-48FE-BD83-6E5C8B898842}"/>
    <hyperlink ref="D12" location="GuestRoomEMS!A1" display="Guest Room EMS" xr:uid="{F43D82A6-8509-499E-8839-35B7DDC9C4E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42"/>
  <sheetViews>
    <sheetView showGridLines="0" zoomScaleNormal="100" workbookViewId="0">
      <selection activeCell="E3" sqref="E3:F3"/>
    </sheetView>
  </sheetViews>
  <sheetFormatPr defaultColWidth="8.85546875" defaultRowHeight="15" x14ac:dyDescent="0.25"/>
  <cols>
    <col min="1" max="1" width="2.7109375" style="1" customWidth="1"/>
    <col min="2" max="2" width="8.5703125" style="1" customWidth="1"/>
    <col min="3" max="3" width="22.28515625" style="1" customWidth="1"/>
    <col min="4" max="4" width="12.5703125" style="1" bestFit="1" customWidth="1"/>
    <col min="5" max="8" width="15.42578125" style="1" customWidth="1"/>
    <col min="9" max="9" width="15.42578125" style="4" customWidth="1"/>
    <col min="10" max="11" width="7.28515625" style="1" bestFit="1" customWidth="1"/>
    <col min="12" max="12" width="15.28515625" style="1" customWidth="1"/>
    <col min="13" max="13" width="14.7109375" style="1" customWidth="1"/>
    <col min="14" max="14" width="2.7109375" style="1" customWidth="1"/>
    <col min="15" max="15" width="13.140625" style="1" hidden="1" customWidth="1"/>
    <col min="16" max="16" width="9.140625" style="1" hidden="1" customWidth="1"/>
    <col min="17" max="17" width="2.7109375" style="1" hidden="1" customWidth="1"/>
    <col min="18" max="21" width="6.5703125" style="1" hidden="1" customWidth="1"/>
    <col min="22" max="22" width="2.7109375" style="1" hidden="1" customWidth="1"/>
    <col min="23" max="27" width="6.140625" style="1" hidden="1" customWidth="1"/>
    <col min="28" max="28" width="2.7109375" style="1" hidden="1" customWidth="1"/>
    <col min="29" max="33" width="6.140625" style="1" hidden="1" customWidth="1"/>
    <col min="34" max="34" width="2.7109375" style="1" hidden="1" customWidth="1"/>
    <col min="35" max="36" width="6.140625" style="1" hidden="1" customWidth="1"/>
    <col min="37" max="37" width="2.7109375" style="1" customWidth="1"/>
    <col min="38" max="48" width="4.7109375" style="1" customWidth="1"/>
    <col min="49" max="16384" width="8.85546875" style="1"/>
  </cols>
  <sheetData>
    <row r="1" spans="2:37" ht="53.25" customHeight="1" thickBot="1" x14ac:dyDescent="0.3">
      <c r="B1" s="431"/>
      <c r="C1" s="432"/>
      <c r="D1" s="433"/>
      <c r="E1" s="434" t="s">
        <v>302</v>
      </c>
      <c r="F1" s="435"/>
      <c r="G1" s="435"/>
      <c r="H1" s="435"/>
      <c r="I1" s="435"/>
      <c r="J1" s="435"/>
      <c r="K1" s="435"/>
      <c r="L1" s="435"/>
      <c r="M1" s="436"/>
      <c r="N1" s="47"/>
    </row>
    <row r="2" spans="2:37" s="33" customFormat="1" x14ac:dyDescent="0.25">
      <c r="I2" s="5"/>
      <c r="R2" s="1"/>
    </row>
    <row r="3" spans="2:37" ht="15.75" thickBot="1" x14ac:dyDescent="0.3">
      <c r="B3" s="187"/>
      <c r="C3" s="187"/>
      <c r="D3" s="50" t="s">
        <v>59</v>
      </c>
      <c r="E3" s="400"/>
      <c r="F3" s="400"/>
      <c r="G3" s="49" t="s">
        <v>299</v>
      </c>
      <c r="H3" s="191">
        <v>45</v>
      </c>
      <c r="J3" s="4"/>
      <c r="K3" s="4"/>
    </row>
    <row r="4" spans="2:37" ht="15.75" thickBot="1" x14ac:dyDescent="0.3">
      <c r="G4" s="3"/>
      <c r="H4" s="2"/>
      <c r="I4" s="3"/>
      <c r="J4" s="2"/>
      <c r="K4" s="2"/>
      <c r="O4" s="629" t="s">
        <v>56</v>
      </c>
    </row>
    <row r="5" spans="2:37" x14ac:dyDescent="0.25">
      <c r="B5" s="34" t="s">
        <v>46</v>
      </c>
      <c r="O5" s="628" t="s">
        <v>2</v>
      </c>
    </row>
    <row r="6" spans="2:37" x14ac:dyDescent="0.25">
      <c r="B6" s="35" t="s">
        <v>45</v>
      </c>
      <c r="O6" s="626" t="s">
        <v>4</v>
      </c>
      <c r="T6" s="40"/>
    </row>
    <row r="7" spans="2:37" x14ac:dyDescent="0.25">
      <c r="B7" s="35" t="s">
        <v>58</v>
      </c>
      <c r="O7" s="626" t="s">
        <v>3</v>
      </c>
    </row>
    <row r="8" spans="2:37" x14ac:dyDescent="0.25">
      <c r="B8" s="35"/>
      <c r="C8" s="1" t="s">
        <v>57</v>
      </c>
      <c r="O8" s="626" t="s">
        <v>5</v>
      </c>
    </row>
    <row r="9" spans="2:37" ht="15.75" thickBot="1" x14ac:dyDescent="0.3">
      <c r="B9" s="35"/>
      <c r="C9" s="1" t="s">
        <v>294</v>
      </c>
      <c r="O9" s="627" t="s">
        <v>23</v>
      </c>
    </row>
    <row r="10" spans="2:37" ht="15.75" thickBot="1" x14ac:dyDescent="0.3">
      <c r="B10" s="35"/>
      <c r="R10" s="428" t="s">
        <v>54</v>
      </c>
      <c r="S10" s="429"/>
      <c r="T10" s="429"/>
      <c r="U10" s="430"/>
      <c r="W10" s="428" t="s">
        <v>40</v>
      </c>
      <c r="X10" s="429"/>
      <c r="Y10" s="429"/>
      <c r="Z10" s="429"/>
      <c r="AA10" s="430"/>
      <c r="AC10" s="428" t="s">
        <v>41</v>
      </c>
      <c r="AD10" s="429"/>
      <c r="AE10" s="429"/>
      <c r="AF10" s="429"/>
      <c r="AG10" s="430"/>
      <c r="AI10" s="428" t="s">
        <v>42</v>
      </c>
      <c r="AJ10" s="430"/>
    </row>
    <row r="11" spans="2:37" ht="15.75" thickBot="1" x14ac:dyDescent="0.3">
      <c r="B11" s="448" t="s">
        <v>14</v>
      </c>
      <c r="C11" s="401"/>
      <c r="D11" s="407" t="s">
        <v>15</v>
      </c>
      <c r="E11" s="401"/>
      <c r="F11" s="410" t="s">
        <v>55</v>
      </c>
      <c r="G11" s="410" t="s">
        <v>16</v>
      </c>
      <c r="H11" s="403" t="s">
        <v>19</v>
      </c>
      <c r="I11" s="404"/>
      <c r="J11" s="401" t="s">
        <v>24</v>
      </c>
      <c r="K11" s="401" t="s">
        <v>18</v>
      </c>
      <c r="L11" s="444" t="s">
        <v>22</v>
      </c>
      <c r="M11" s="446" t="s">
        <v>17</v>
      </c>
      <c r="N11" s="43"/>
      <c r="R11" s="391" t="s">
        <v>25</v>
      </c>
      <c r="S11" s="392"/>
      <c r="T11" s="391" t="s">
        <v>26</v>
      </c>
      <c r="U11" s="392"/>
      <c r="V11" s="396"/>
      <c r="W11" s="16">
        <v>0</v>
      </c>
      <c r="X11" s="17">
        <v>75</v>
      </c>
      <c r="Y11" s="17">
        <v>150</v>
      </c>
      <c r="Z11" s="17">
        <v>300</v>
      </c>
      <c r="AA11" s="18">
        <v>600</v>
      </c>
      <c r="AB11" s="396"/>
      <c r="AC11" s="16">
        <v>0</v>
      </c>
      <c r="AD11" s="17">
        <v>150</v>
      </c>
      <c r="AE11" s="17">
        <v>300</v>
      </c>
      <c r="AF11" s="17">
        <v>400</v>
      </c>
      <c r="AG11" s="18">
        <v>600</v>
      </c>
      <c r="AH11" s="396"/>
      <c r="AI11" s="21">
        <v>0</v>
      </c>
      <c r="AJ11" s="22">
        <v>150</v>
      </c>
    </row>
    <row r="12" spans="2:37" ht="15.75" thickBot="1" x14ac:dyDescent="0.3">
      <c r="B12" s="449"/>
      <c r="C12" s="409"/>
      <c r="D12" s="408"/>
      <c r="E12" s="409"/>
      <c r="F12" s="412"/>
      <c r="G12" s="411"/>
      <c r="H12" s="405"/>
      <c r="I12" s="406"/>
      <c r="J12" s="402"/>
      <c r="K12" s="402"/>
      <c r="L12" s="445"/>
      <c r="M12" s="447"/>
      <c r="N12" s="43"/>
      <c r="O12" s="631" t="s">
        <v>39</v>
      </c>
      <c r="P12" s="632" t="s">
        <v>38</v>
      </c>
      <c r="R12" s="26" t="s">
        <v>24</v>
      </c>
      <c r="S12" s="27" t="s">
        <v>18</v>
      </c>
      <c r="T12" s="24" t="s">
        <v>24</v>
      </c>
      <c r="U12" s="25" t="s">
        <v>18</v>
      </c>
      <c r="V12" s="396"/>
      <c r="W12" s="19">
        <v>75</v>
      </c>
      <c r="X12" s="15">
        <v>150</v>
      </c>
      <c r="Y12" s="15">
        <v>300</v>
      </c>
      <c r="Z12" s="15">
        <v>600</v>
      </c>
      <c r="AA12" s="20" t="s">
        <v>37</v>
      </c>
      <c r="AB12" s="396"/>
      <c r="AC12" s="19">
        <v>150</v>
      </c>
      <c r="AD12" s="15">
        <v>300</v>
      </c>
      <c r="AE12" s="15">
        <v>400</v>
      </c>
      <c r="AF12" s="15">
        <v>600</v>
      </c>
      <c r="AG12" s="20" t="s">
        <v>37</v>
      </c>
      <c r="AH12" s="396"/>
      <c r="AI12" s="23">
        <v>150</v>
      </c>
      <c r="AJ12" s="20" t="s">
        <v>37</v>
      </c>
    </row>
    <row r="13" spans="2:37" x14ac:dyDescent="0.25">
      <c r="B13" s="417" t="s">
        <v>20</v>
      </c>
      <c r="C13" s="418"/>
      <c r="D13" s="443" t="s">
        <v>21</v>
      </c>
      <c r="E13" s="443"/>
      <c r="F13" s="623" t="s">
        <v>4</v>
      </c>
      <c r="G13" s="390">
        <v>1</v>
      </c>
      <c r="H13" s="442">
        <v>200</v>
      </c>
      <c r="I13" s="442"/>
      <c r="J13" s="197">
        <v>0.59309999999999996</v>
      </c>
      <c r="K13" s="197">
        <v>0.48420000000000002</v>
      </c>
      <c r="L13" s="624">
        <f>IFERROR(IF($O13=3, IF(OR(K13&gt;=S13, K13&gt;=U13), $H$3, "DNQ"), IF(OR(AND(J13&gt;0, K13&gt;0, K13&lt;=S13), AND(J13&gt;0, K13&gt;0, K13&lt;=U13)), $H$3, "DNQ")), "DNQ")</f>
        <v>45</v>
      </c>
      <c r="M13" s="625">
        <f t="shared" ref="M13" si="0">IFERROR(G13*H13*L13,0)</f>
        <v>9000</v>
      </c>
      <c r="N13" s="44"/>
      <c r="O13" s="19">
        <f t="shared" ref="O13:O19" si="1">IF(OR($F13=$O$5, $F13=$O$6, $F13=$O$7), 1, IF($F13=$O$8, 2, IF($F13=$O$9, 3, "")))</f>
        <v>1</v>
      </c>
      <c r="P13" s="630">
        <f>IF($O13=1, MATCH(TRUE,W13:AA13,0), IF($O13=2, MATCH(TRUE,AC13:AG13,0), MATCH(TRUE,AI13:AJ13,0)))</f>
        <v>3</v>
      </c>
      <c r="Q13" s="396"/>
      <c r="R13" s="41">
        <f>IF($O13=1, INDEX($E$26:$I$29,1,P13), IF($O13=2, INDEX($E$32:$I$35,1,P13), IF($O13=3, INDEX($E$38:$F$41,1,P13),"")))</f>
        <v>0.59400000000000008</v>
      </c>
      <c r="S13" s="42">
        <f>IF($O13=1, INDEX($E$26:$I$29,2,P13), IF($O13=2, INDEX($E$32:$I$35,2,P13), IF($O13=3, INDEX($E$38:$F$41,2,P13),"")))</f>
        <v>0.48600000000000004</v>
      </c>
      <c r="T13" s="41">
        <f>IF($O13=1, INDEX($E$26:$I$29,3,P13), IF($O13=2, INDEX($E$32:$I$35,3,P13), IF($O13=3, INDEX($E$38:$F$41,3,P13),"")))</f>
        <v>0.6120000000000001</v>
      </c>
      <c r="U13" s="42">
        <f>IF($O13=1, INDEX($E$26:$I$29,4,P13), IF($O13=2, INDEX($E$32:$I$35,4,P13), IF($O13=3, INDEX($E$38:$F$41,4,P13),"")))</f>
        <v>0.39600000000000002</v>
      </c>
      <c r="V13" s="13"/>
      <c r="W13" s="26" t="b">
        <f>AND(H13&gt;$W$11,H13&lt;$W$12)</f>
        <v>0</v>
      </c>
      <c r="X13" s="394" t="b">
        <f>AND(H13&gt;=$X$11,H13&lt;$X$12)</f>
        <v>0</v>
      </c>
      <c r="Y13" s="394" t="b">
        <f>AND(H13&gt;=$Y$11,H13&lt;$Y$12)</f>
        <v>1</v>
      </c>
      <c r="Z13" s="394" t="b">
        <f>AND(H13&gt;=$Z$11,H13&lt;$Z$12)</f>
        <v>0</v>
      </c>
      <c r="AA13" s="27" t="b">
        <f>H13&gt;=$AA$11</f>
        <v>0</v>
      </c>
      <c r="AB13" s="4"/>
      <c r="AC13" s="26" t="b">
        <f>AND(H13&gt;$AC$11,H13&lt;$AC$12)</f>
        <v>0</v>
      </c>
      <c r="AD13" s="394" t="b">
        <f>AND(H13&gt;=$AD$11,H13&lt;$AD$12)</f>
        <v>1</v>
      </c>
      <c r="AE13" s="394" t="b">
        <f>AND(H13&gt;=$AE$11,H13&lt;$AE$12)</f>
        <v>0</v>
      </c>
      <c r="AF13" s="394" t="b">
        <f>AND(H13&gt;=$AF$11,H13&lt;$AF$12)</f>
        <v>0</v>
      </c>
      <c r="AG13" s="27" t="b">
        <f>H13&gt;=$AG$11</f>
        <v>0</v>
      </c>
      <c r="AH13" s="4"/>
      <c r="AI13" s="26" t="b">
        <f>AND(H13&gt;$AI$11,H13&lt;$AI$12)</f>
        <v>0</v>
      </c>
      <c r="AJ13" s="27" t="b">
        <f>H13&gt;=$AJ$11</f>
        <v>1</v>
      </c>
      <c r="AK13" s="396"/>
    </row>
    <row r="14" spans="2:37" x14ac:dyDescent="0.25">
      <c r="B14" s="421"/>
      <c r="C14" s="422"/>
      <c r="D14" s="416"/>
      <c r="E14" s="416"/>
      <c r="F14" s="389"/>
      <c r="G14" s="389"/>
      <c r="H14" s="416"/>
      <c r="I14" s="416"/>
      <c r="J14" s="199"/>
      <c r="K14" s="199"/>
      <c r="L14" s="200" t="str">
        <f t="shared" ref="L14:L19" si="2">IFERROR(IF($O14=3, IF(OR(K14&gt;=S14, K14&gt;=U14), $H$3, "DNQ"), IF(OR(AND(J14&gt;0, K14&gt;0, K14&lt;=S14), AND(J14&gt;0, K14&gt;0, K14&lt;=U14)), $H$3, "DNQ")), "DNQ")</f>
        <v>DNQ</v>
      </c>
      <c r="M14" s="201" t="str">
        <f>IFERROR(IF(OR(ISBLANK(F14), ISBLANK(G14), ISBLANK(H14), ISBLANK(J14), ISBLANK(K14)), "Incomplete", G14*H14*L14), 0)</f>
        <v>Incomplete</v>
      </c>
      <c r="N14" s="44"/>
      <c r="O14" s="26" t="str">
        <f t="shared" si="1"/>
        <v/>
      </c>
      <c r="P14" s="27" t="e">
        <f>IF($O14=1, MATCH(TRUE,W14:AA14,0), IF($O14=2, MATCH(TRUE,AC14:AG14,0), MATCH(TRUE,AI14:AJ14,0)))</f>
        <v>#N/A</v>
      </c>
      <c r="Q14" s="396"/>
      <c r="R14" s="41" t="str">
        <f t="shared" ref="R14:R19" si="3">IF($O14=1, INDEX($E$26:$I$29,1,P14), IF($O14=2, INDEX($E$32:$I$35,1,P14), IF($O14=3, INDEX($E$38:$F$41,1,P14),"")))</f>
        <v/>
      </c>
      <c r="S14" s="42" t="str">
        <f t="shared" ref="S14:S19" si="4">IF($O14=1, INDEX($E$26:$I$29,2,P14), IF($O14=2, INDEX($E$32:$I$35,2,P14), IF($O14=3, INDEX($E$38:$F$41,2,P14),"")))</f>
        <v/>
      </c>
      <c r="T14" s="41" t="str">
        <f t="shared" ref="T14:T19" si="5">IF($O14=1, INDEX($E$26:$I$29,3,P14), IF($O14=2, INDEX($E$32:$I$35,3,P14), IF($O14=3, INDEX($E$38:$F$41,3,P14),"")))</f>
        <v/>
      </c>
      <c r="U14" s="42" t="str">
        <f t="shared" ref="U14:U19" si="6">IF($O14=1, INDEX($E$26:$I$29,4,P14), IF($O14=2, INDEX($E$32:$I$35,4,P14), IF($O14=3, INDEX($E$38:$F$41,4,P14),"")))</f>
        <v/>
      </c>
      <c r="V14" s="14"/>
      <c r="W14" s="26" t="b">
        <f>AND(H14&gt;$W$11,H14&lt;$W$12)</f>
        <v>0</v>
      </c>
      <c r="X14" s="394" t="b">
        <f>AND(H14&gt;=$X$11,H14&lt;$X$12)</f>
        <v>0</v>
      </c>
      <c r="Y14" s="394" t="b">
        <f>AND(H14&gt;=$Y$11,H14&lt;$Y$12)</f>
        <v>0</v>
      </c>
      <c r="Z14" s="394" t="b">
        <f>AND(H14&gt;=$Z$11,H14&lt;$Z$12)</f>
        <v>0</v>
      </c>
      <c r="AA14" s="27" t="b">
        <f>H14&gt;=$AA$11</f>
        <v>0</v>
      </c>
      <c r="AB14" s="396"/>
      <c r="AC14" s="26" t="b">
        <f>AND(H14&gt;$AC$11,H14&lt;$AC$12)</f>
        <v>0</v>
      </c>
      <c r="AD14" s="394" t="b">
        <f>AND(H14&gt;=$AD$11,H14&lt;$AD$12)</f>
        <v>0</v>
      </c>
      <c r="AE14" s="394" t="b">
        <f>AND(H14&gt;=$AE$11,H14&lt;$AE$12)</f>
        <v>0</v>
      </c>
      <c r="AF14" s="394" t="b">
        <f>AND(H14&gt;=$AF$11,H14&lt;$AF$12)</f>
        <v>0</v>
      </c>
      <c r="AG14" s="27" t="b">
        <f>H14&gt;=$AG$11</f>
        <v>0</v>
      </c>
      <c r="AH14" s="4"/>
      <c r="AI14" s="26" t="b">
        <f>AND(H14&gt;$AI$11,H14&lt;$AI$12)</f>
        <v>0</v>
      </c>
      <c r="AJ14" s="27" t="b">
        <f>H14&gt;=$AJ$11</f>
        <v>0</v>
      </c>
      <c r="AK14" s="396"/>
    </row>
    <row r="15" spans="2:37" x14ac:dyDescent="0.25">
      <c r="B15" s="421"/>
      <c r="C15" s="422"/>
      <c r="D15" s="416"/>
      <c r="E15" s="416"/>
      <c r="F15" s="389"/>
      <c r="G15" s="389"/>
      <c r="H15" s="413"/>
      <c r="I15" s="414"/>
      <c r="J15" s="199"/>
      <c r="K15" s="199"/>
      <c r="L15" s="200" t="str">
        <f t="shared" si="2"/>
        <v>DNQ</v>
      </c>
      <c r="M15" s="201" t="str">
        <f t="shared" ref="M15:M19" si="7">IFERROR(IF(OR(ISBLANK(F15), ISBLANK(G15), ISBLANK(H15), ISBLANK(J15), ISBLANK(K15)), "Incomplete", G15*H15*L15), 0)</f>
        <v>Incomplete</v>
      </c>
      <c r="N15" s="44"/>
      <c r="O15" s="26" t="str">
        <f t="shared" si="1"/>
        <v/>
      </c>
      <c r="P15" s="27" t="e">
        <f>IF($O15=1, MATCH(TRUE,W15:AA15,0), IF($O15=2, MATCH(TRUE,AC15:AG15,0), MATCH(TRUE,AI15:AJ15,0)))</f>
        <v>#N/A</v>
      </c>
      <c r="Q15" s="396"/>
      <c r="R15" s="41" t="str">
        <f t="shared" si="3"/>
        <v/>
      </c>
      <c r="S15" s="42" t="str">
        <f t="shared" si="4"/>
        <v/>
      </c>
      <c r="T15" s="41" t="str">
        <f t="shared" si="5"/>
        <v/>
      </c>
      <c r="U15" s="42" t="str">
        <f t="shared" si="6"/>
        <v/>
      </c>
      <c r="V15" s="14"/>
      <c r="W15" s="26" t="b">
        <f>AND(H15&gt;$W$11,H15&lt;$W$12)</f>
        <v>0</v>
      </c>
      <c r="X15" s="394" t="b">
        <f>AND(H15&gt;=$X$11,H15&lt;$X$12)</f>
        <v>0</v>
      </c>
      <c r="Y15" s="394" t="b">
        <f>AND(H15&gt;=$Y$11,H15&lt;$Y$12)</f>
        <v>0</v>
      </c>
      <c r="Z15" s="394" t="b">
        <f>AND(H15&gt;=$Z$11,H15&lt;$Z$12)</f>
        <v>0</v>
      </c>
      <c r="AA15" s="27" t="b">
        <f>H15&gt;=$AA$11</f>
        <v>0</v>
      </c>
      <c r="AB15" s="396"/>
      <c r="AC15" s="26" t="b">
        <f>AND(H15&gt;$AC$11,H15&lt;$AC$12)</f>
        <v>0</v>
      </c>
      <c r="AD15" s="394" t="b">
        <f>AND(H15&gt;=$AD$11,H15&lt;$AD$12)</f>
        <v>0</v>
      </c>
      <c r="AE15" s="394" t="b">
        <f>AND(H15&gt;=$AE$11,H15&lt;$AE$12)</f>
        <v>0</v>
      </c>
      <c r="AF15" s="394" t="b">
        <f>AND(H15&gt;=$AF$11,H15&lt;$AF$12)</f>
        <v>0</v>
      </c>
      <c r="AG15" s="27" t="b">
        <f>H15&gt;=$AG$11</f>
        <v>0</v>
      </c>
      <c r="AH15" s="4"/>
      <c r="AI15" s="26" t="b">
        <f>AND(H15&gt;$AI$11,H15&lt;$AI$12)</f>
        <v>0</v>
      </c>
      <c r="AJ15" s="27" t="b">
        <f>H15&gt;=$AJ$11</f>
        <v>0</v>
      </c>
    </row>
    <row r="16" spans="2:37" x14ac:dyDescent="0.25">
      <c r="B16" s="421"/>
      <c r="C16" s="422"/>
      <c r="D16" s="415"/>
      <c r="E16" s="415"/>
      <c r="F16" s="389"/>
      <c r="G16" s="389"/>
      <c r="H16" s="413"/>
      <c r="I16" s="414"/>
      <c r="J16" s="199"/>
      <c r="K16" s="199"/>
      <c r="L16" s="200" t="str">
        <f t="shared" si="2"/>
        <v>DNQ</v>
      </c>
      <c r="M16" s="201" t="str">
        <f t="shared" si="7"/>
        <v>Incomplete</v>
      </c>
      <c r="N16" s="44"/>
      <c r="O16" s="26" t="str">
        <f t="shared" si="1"/>
        <v/>
      </c>
      <c r="P16" s="27" t="e">
        <f>IF($O16=1, MATCH(TRUE,W16:AA16,0), IF($O16=2, MATCH(TRUE,AC16:AG16,0), MATCH(TRUE,AI16:AJ16,0)))</f>
        <v>#N/A</v>
      </c>
      <c r="Q16" s="396"/>
      <c r="R16" s="41" t="str">
        <f t="shared" si="3"/>
        <v/>
      </c>
      <c r="S16" s="42" t="str">
        <f t="shared" si="4"/>
        <v/>
      </c>
      <c r="T16" s="41" t="str">
        <f t="shared" si="5"/>
        <v/>
      </c>
      <c r="U16" s="42" t="str">
        <f t="shared" si="6"/>
        <v/>
      </c>
      <c r="V16" s="14"/>
      <c r="W16" s="26" t="b">
        <f>AND(H16&gt;$W$11,H16&lt;$W$12)</f>
        <v>0</v>
      </c>
      <c r="X16" s="394" t="b">
        <f>AND(H16&gt;=$X$11,H16&lt;$X$12)</f>
        <v>0</v>
      </c>
      <c r="Y16" s="394" t="b">
        <f>AND(H16&gt;=$Y$11,H16&lt;$Y$12)</f>
        <v>0</v>
      </c>
      <c r="Z16" s="394" t="b">
        <f>AND(H16&gt;=$Z$11,H16&lt;$Z$12)</f>
        <v>0</v>
      </c>
      <c r="AA16" s="27" t="b">
        <f>H16&gt;=$AA$11</f>
        <v>0</v>
      </c>
      <c r="AB16" s="396"/>
      <c r="AC16" s="26" t="b">
        <f>AND(H16&gt;$AC$11,H16&lt;$AC$12)</f>
        <v>0</v>
      </c>
      <c r="AD16" s="394" t="b">
        <f>AND(H16&gt;=$AD$11,H16&lt;$AD$12)</f>
        <v>0</v>
      </c>
      <c r="AE16" s="394" t="b">
        <f>AND(H16&gt;=$AE$11,H16&lt;$AE$12)</f>
        <v>0</v>
      </c>
      <c r="AF16" s="394" t="b">
        <f>AND(H16&gt;=$AF$11,H16&lt;$AF$12)</f>
        <v>0</v>
      </c>
      <c r="AG16" s="27" t="b">
        <f>H16&gt;=$AG$11</f>
        <v>0</v>
      </c>
      <c r="AH16" s="4"/>
      <c r="AI16" s="26" t="b">
        <f>AND(H16&gt;$AI$11,H16&lt;$AI$12)</f>
        <v>0</v>
      </c>
      <c r="AJ16" s="27" t="b">
        <f>H16&gt;=$AJ$11</f>
        <v>0</v>
      </c>
      <c r="AK16" s="11"/>
    </row>
    <row r="17" spans="1:48" x14ac:dyDescent="0.25">
      <c r="B17" s="421"/>
      <c r="C17" s="422"/>
      <c r="D17" s="413"/>
      <c r="E17" s="414"/>
      <c r="F17" s="389"/>
      <c r="G17" s="389"/>
      <c r="H17" s="413"/>
      <c r="I17" s="414"/>
      <c r="J17" s="199"/>
      <c r="K17" s="199"/>
      <c r="L17" s="200" t="str">
        <f t="shared" si="2"/>
        <v>DNQ</v>
      </c>
      <c r="M17" s="201" t="str">
        <f t="shared" si="7"/>
        <v>Incomplete</v>
      </c>
      <c r="N17" s="44"/>
      <c r="O17" s="26" t="str">
        <f t="shared" si="1"/>
        <v/>
      </c>
      <c r="P17" s="27" t="e">
        <f>IF($O17=1, MATCH(TRUE,W17:AA17,0), IF($O17=2, MATCH(TRUE,AC17:AG17,0), MATCH(TRUE,AI17:AJ17,0)))</f>
        <v>#N/A</v>
      </c>
      <c r="Q17" s="396"/>
      <c r="R17" s="41" t="str">
        <f t="shared" si="3"/>
        <v/>
      </c>
      <c r="S17" s="42" t="str">
        <f t="shared" si="4"/>
        <v/>
      </c>
      <c r="T17" s="41" t="str">
        <f t="shared" si="5"/>
        <v/>
      </c>
      <c r="U17" s="42" t="str">
        <f t="shared" si="6"/>
        <v/>
      </c>
      <c r="V17" s="14"/>
      <c r="W17" s="26" t="b">
        <f>AND(H17&gt;$W$11,H17&lt;$W$12)</f>
        <v>0</v>
      </c>
      <c r="X17" s="394" t="b">
        <f>AND(H17&gt;=$X$11,H17&lt;$X$12)</f>
        <v>0</v>
      </c>
      <c r="Y17" s="394" t="b">
        <f>AND(H17&gt;=$Y$11,H17&lt;$Y$12)</f>
        <v>0</v>
      </c>
      <c r="Z17" s="394" t="b">
        <f>AND(H17&gt;=$Z$11,H17&lt;$Z$12)</f>
        <v>0</v>
      </c>
      <c r="AA17" s="27" t="b">
        <f>H17&gt;=$AA$11</f>
        <v>0</v>
      </c>
      <c r="AB17" s="396"/>
      <c r="AC17" s="26" t="b">
        <f>AND(H17&gt;$AC$11,H17&lt;$AC$12)</f>
        <v>0</v>
      </c>
      <c r="AD17" s="394" t="b">
        <f>AND(H17&gt;=$AD$11,H17&lt;$AD$12)</f>
        <v>0</v>
      </c>
      <c r="AE17" s="394" t="b">
        <f>AND(H17&gt;=$AE$11,H17&lt;$AE$12)</f>
        <v>0</v>
      </c>
      <c r="AF17" s="394" t="b">
        <f>AND(H17&gt;=$AF$11,H17&lt;$AF$12)</f>
        <v>0</v>
      </c>
      <c r="AG17" s="27" t="b">
        <f>H17&gt;=$AG$11</f>
        <v>0</v>
      </c>
      <c r="AH17" s="4"/>
      <c r="AI17" s="26" t="b">
        <f>AND(H17&gt;$AI$11,H17&lt;$AI$12)</f>
        <v>0</v>
      </c>
      <c r="AJ17" s="27" t="b">
        <f>H17&gt;=$AJ$11</f>
        <v>0</v>
      </c>
      <c r="AK17" s="11"/>
    </row>
    <row r="18" spans="1:48" x14ac:dyDescent="0.25">
      <c r="B18" s="421"/>
      <c r="C18" s="422"/>
      <c r="D18" s="413"/>
      <c r="E18" s="414"/>
      <c r="F18" s="389"/>
      <c r="G18" s="395"/>
      <c r="H18" s="413"/>
      <c r="I18" s="414"/>
      <c r="J18" s="199"/>
      <c r="K18" s="199"/>
      <c r="L18" s="200" t="str">
        <f t="shared" si="2"/>
        <v>DNQ</v>
      </c>
      <c r="M18" s="201" t="str">
        <f t="shared" si="7"/>
        <v>Incomplete</v>
      </c>
      <c r="N18" s="44"/>
      <c r="O18" s="26" t="str">
        <f t="shared" si="1"/>
        <v/>
      </c>
      <c r="P18" s="27" t="e">
        <f>IF($O18=1, MATCH(TRUE,W18:AA18,0), IF($O18=2, MATCH(TRUE,AC18:AG18,0), MATCH(TRUE,AI18:AJ18,0)))</f>
        <v>#N/A</v>
      </c>
      <c r="Q18" s="396"/>
      <c r="R18" s="41" t="str">
        <f t="shared" si="3"/>
        <v/>
      </c>
      <c r="S18" s="42" t="str">
        <f t="shared" si="4"/>
        <v/>
      </c>
      <c r="T18" s="41" t="str">
        <f t="shared" si="5"/>
        <v/>
      </c>
      <c r="U18" s="42" t="str">
        <f t="shared" si="6"/>
        <v/>
      </c>
      <c r="V18" s="14"/>
      <c r="W18" s="26" t="b">
        <f>AND(H18&gt;$W$11,H18&lt;$W$12)</f>
        <v>0</v>
      </c>
      <c r="X18" s="394" t="b">
        <f>AND(H18&gt;=$X$11,H18&lt;$X$12)</f>
        <v>0</v>
      </c>
      <c r="Y18" s="394" t="b">
        <f>AND(H18&gt;=$Y$11,H18&lt;$Y$12)</f>
        <v>0</v>
      </c>
      <c r="Z18" s="394" t="b">
        <f>AND(H18&gt;=$Z$11,H18&lt;$Z$12)</f>
        <v>0</v>
      </c>
      <c r="AA18" s="27" t="b">
        <f>H18&gt;=$AA$11</f>
        <v>0</v>
      </c>
      <c r="AB18" s="396"/>
      <c r="AC18" s="26" t="b">
        <f>AND(H18&gt;$AC$11,H18&lt;$AC$12)</f>
        <v>0</v>
      </c>
      <c r="AD18" s="394" t="b">
        <f>AND(H18&gt;=$AD$11,H18&lt;$AD$12)</f>
        <v>0</v>
      </c>
      <c r="AE18" s="394" t="b">
        <f>AND(H18&gt;=$AE$11,H18&lt;$AE$12)</f>
        <v>0</v>
      </c>
      <c r="AF18" s="394" t="b">
        <f>AND(H18&gt;=$AF$11,H18&lt;$AF$12)</f>
        <v>0</v>
      </c>
      <c r="AG18" s="27" t="b">
        <f>H18&gt;=$AG$11</f>
        <v>0</v>
      </c>
      <c r="AH18" s="4"/>
      <c r="AI18" s="26" t="b">
        <f>AND(H18&gt;$AI$11,H18&lt;$AI$12)</f>
        <v>0</v>
      </c>
      <c r="AJ18" s="27" t="b">
        <f>H18&gt;=$AJ$11</f>
        <v>0</v>
      </c>
      <c r="AK18" s="11"/>
    </row>
    <row r="19" spans="1:48" ht="15.75" thickBot="1" x14ac:dyDescent="0.3">
      <c r="B19" s="423"/>
      <c r="C19" s="424"/>
      <c r="D19" s="426"/>
      <c r="E19" s="427"/>
      <c r="F19" s="393"/>
      <c r="G19" s="393"/>
      <c r="H19" s="419"/>
      <c r="I19" s="420"/>
      <c r="J19" s="203"/>
      <c r="K19" s="203"/>
      <c r="L19" s="200" t="str">
        <f t="shared" si="2"/>
        <v>DNQ</v>
      </c>
      <c r="M19" s="204" t="str">
        <f t="shared" si="7"/>
        <v>Incomplete</v>
      </c>
      <c r="N19" s="44"/>
      <c r="O19" s="38" t="str">
        <f t="shared" si="1"/>
        <v/>
      </c>
      <c r="P19" s="39" t="e">
        <f>IF($O19=1, MATCH(TRUE,W19:AA19,0), IF($O19=2, MATCH(TRUE,AC19:AG19,0), MATCH(TRUE,AI19:AJ19,0)))</f>
        <v>#N/A</v>
      </c>
      <c r="Q19" s="396"/>
      <c r="R19" s="621" t="str">
        <f t="shared" si="3"/>
        <v/>
      </c>
      <c r="S19" s="622" t="str">
        <f t="shared" si="4"/>
        <v/>
      </c>
      <c r="T19" s="621" t="str">
        <f t="shared" si="5"/>
        <v/>
      </c>
      <c r="U19" s="622" t="str">
        <f t="shared" si="6"/>
        <v/>
      </c>
      <c r="V19" s="14"/>
      <c r="W19" s="38" t="b">
        <f>AND(H19&gt;$W$11,H19&lt;$W$12)</f>
        <v>0</v>
      </c>
      <c r="X19" s="620" t="b">
        <f>AND(H19&gt;=$X$11,H19&lt;$X$12)</f>
        <v>0</v>
      </c>
      <c r="Y19" s="620" t="b">
        <f>AND(H19&gt;=$Y$11,H19&lt;$Y$12)</f>
        <v>0</v>
      </c>
      <c r="Z19" s="620" t="b">
        <f>AND(H19&gt;=$Z$11,H19&lt;$Z$12)</f>
        <v>0</v>
      </c>
      <c r="AA19" s="39" t="b">
        <f>H19&gt;=$AA$11</f>
        <v>0</v>
      </c>
      <c r="AB19" s="396"/>
      <c r="AC19" s="38" t="b">
        <f>AND(H19&gt;$AC$11,H19&lt;$AC$12)</f>
        <v>0</v>
      </c>
      <c r="AD19" s="620" t="b">
        <f>AND(H19&gt;=$AD$11,H19&lt;$AD$12)</f>
        <v>0</v>
      </c>
      <c r="AE19" s="620" t="b">
        <f>AND(H19&gt;=$AE$11,H19&lt;$AE$12)</f>
        <v>0</v>
      </c>
      <c r="AF19" s="620" t="b">
        <f>AND(H19&gt;=$AF$11,H19&lt;$AF$12)</f>
        <v>0</v>
      </c>
      <c r="AG19" s="39" t="b">
        <f>H19&gt;=$AG$11</f>
        <v>0</v>
      </c>
      <c r="AH19" s="4"/>
      <c r="AI19" s="38" t="b">
        <f>AND(H19&gt;$AI$11,H19&lt;$AI$12)</f>
        <v>0</v>
      </c>
      <c r="AJ19" s="39" t="b">
        <f>H19&gt;=$AJ$11</f>
        <v>0</v>
      </c>
      <c r="AK19" s="11"/>
    </row>
    <row r="20" spans="1:48" ht="15.75" thickBot="1" x14ac:dyDescent="0.3">
      <c r="B20" s="439" t="s">
        <v>47</v>
      </c>
      <c r="C20" s="440"/>
      <c r="D20" s="440"/>
      <c r="E20" s="440"/>
      <c r="F20" s="440"/>
      <c r="G20" s="440"/>
      <c r="H20" s="440"/>
      <c r="I20" s="440"/>
      <c r="J20" s="440"/>
      <c r="K20" s="440"/>
      <c r="L20" s="441"/>
      <c r="M20" s="194">
        <f>SUM(M14:M19)</f>
        <v>0</v>
      </c>
      <c r="N20" s="45"/>
      <c r="Q20" s="396"/>
      <c r="AK20" s="11"/>
    </row>
    <row r="21" spans="1:48" x14ac:dyDescent="0.25">
      <c r="B21" s="5"/>
      <c r="C21" s="5"/>
      <c r="D21" s="5"/>
      <c r="E21" s="5"/>
      <c r="F21" s="5"/>
      <c r="G21" s="5"/>
      <c r="H21" s="5"/>
      <c r="I21" s="5"/>
      <c r="J21" s="6"/>
      <c r="K21" s="7"/>
      <c r="L21" s="7"/>
      <c r="M21" s="3"/>
      <c r="N21" s="3"/>
      <c r="Q21" s="396"/>
      <c r="AK21" s="11"/>
      <c r="AL21" s="396"/>
      <c r="AM21" s="396"/>
      <c r="AN21" s="396"/>
      <c r="AO21" s="396"/>
      <c r="AP21" s="396"/>
      <c r="AQ21" s="396"/>
      <c r="AR21" s="396"/>
      <c r="AS21" s="396"/>
      <c r="AT21" s="396"/>
      <c r="AU21" s="396"/>
      <c r="AV21" s="396"/>
    </row>
    <row r="22" spans="1:48" x14ac:dyDescent="0.25">
      <c r="B22" s="5"/>
      <c r="C22" s="5"/>
      <c r="D22" s="5"/>
      <c r="E22" s="5"/>
      <c r="F22" s="5"/>
      <c r="G22" s="5"/>
      <c r="H22" s="5"/>
      <c r="I22" s="5"/>
      <c r="J22" s="6"/>
      <c r="K22" s="7"/>
      <c r="L22" s="7"/>
      <c r="M22" s="3"/>
      <c r="N22" s="3"/>
      <c r="Q22" s="396"/>
      <c r="R22" s="249"/>
      <c r="S22" s="249"/>
      <c r="T22" s="249"/>
      <c r="U22" s="249"/>
      <c r="V22" s="14"/>
      <c r="W22" s="250"/>
      <c r="X22" s="250"/>
      <c r="Y22" s="250"/>
      <c r="Z22" s="250"/>
      <c r="AA22" s="250"/>
      <c r="AB22" s="11"/>
      <c r="AC22" s="250"/>
      <c r="AD22" s="250"/>
      <c r="AE22" s="250"/>
      <c r="AF22" s="250"/>
      <c r="AG22" s="250"/>
      <c r="AI22" s="250"/>
      <c r="AJ22" s="250"/>
      <c r="AK22" s="11"/>
      <c r="AL22" s="396"/>
      <c r="AM22" s="396"/>
      <c r="AN22" s="396"/>
      <c r="AO22" s="396"/>
      <c r="AP22" s="396"/>
      <c r="AQ22" s="396"/>
      <c r="AR22" s="396"/>
      <c r="AS22" s="396"/>
      <c r="AT22" s="396"/>
      <c r="AU22" s="396"/>
      <c r="AV22" s="396"/>
    </row>
    <row r="23" spans="1:48" x14ac:dyDescent="0.25">
      <c r="B23" s="437" t="s">
        <v>253</v>
      </c>
      <c r="C23" s="438"/>
      <c r="D23" s="438"/>
      <c r="E23" s="438"/>
      <c r="F23" s="438"/>
      <c r="G23" s="438"/>
      <c r="H23" s="438"/>
      <c r="I23" s="438"/>
      <c r="J23" s="438"/>
      <c r="K23" s="438"/>
      <c r="L23" s="438"/>
      <c r="M23" s="438"/>
      <c r="N23" s="3"/>
      <c r="Q23" s="396"/>
      <c r="R23" s="249"/>
      <c r="S23" s="249"/>
      <c r="T23" s="249"/>
      <c r="U23" s="249"/>
      <c r="V23" s="14"/>
      <c r="W23" s="250"/>
      <c r="X23" s="250"/>
      <c r="Y23" s="250"/>
      <c r="Z23" s="250"/>
      <c r="AA23" s="250"/>
      <c r="AB23" s="11"/>
      <c r="AC23" s="250"/>
      <c r="AD23" s="250"/>
      <c r="AE23" s="250"/>
      <c r="AF23" s="250"/>
      <c r="AG23" s="250"/>
      <c r="AI23" s="250"/>
      <c r="AJ23" s="250"/>
      <c r="AK23" s="11"/>
      <c r="AL23" s="396"/>
      <c r="AM23" s="396"/>
      <c r="AN23" s="396"/>
      <c r="AO23" s="396"/>
      <c r="AP23" s="396"/>
      <c r="AQ23" s="396"/>
      <c r="AR23" s="396"/>
      <c r="AS23" s="396"/>
      <c r="AT23" s="396"/>
      <c r="AU23" s="396"/>
      <c r="AV23" s="396"/>
    </row>
    <row r="24" spans="1:48" x14ac:dyDescent="0.25">
      <c r="B24" s="383"/>
      <c r="C24" s="383"/>
      <c r="D24" s="383"/>
      <c r="E24" s="383"/>
      <c r="F24" s="383"/>
      <c r="G24" s="383"/>
      <c r="H24" s="383"/>
      <c r="I24" s="383"/>
      <c r="J24" s="383"/>
      <c r="K24" s="383"/>
      <c r="L24" s="383"/>
      <c r="M24" s="383"/>
      <c r="N24" s="3"/>
      <c r="Q24" s="396"/>
      <c r="R24" s="249"/>
      <c r="S24" s="249"/>
      <c r="T24" s="249"/>
      <c r="U24" s="249"/>
      <c r="V24" s="14"/>
      <c r="W24" s="250"/>
      <c r="X24" s="250"/>
      <c r="Y24" s="250"/>
      <c r="Z24" s="250"/>
      <c r="AA24" s="250"/>
      <c r="AB24" s="11"/>
      <c r="AC24" s="250"/>
      <c r="AD24" s="250"/>
      <c r="AE24" s="250"/>
      <c r="AF24" s="250"/>
      <c r="AG24" s="250"/>
      <c r="AI24" s="250"/>
      <c r="AJ24" s="250"/>
      <c r="AK24" s="11"/>
      <c r="AL24" s="396"/>
      <c r="AM24" s="396"/>
      <c r="AN24" s="396"/>
      <c r="AO24" s="396"/>
      <c r="AP24" s="396"/>
      <c r="AQ24" s="396"/>
      <c r="AR24" s="396"/>
      <c r="AS24" s="396"/>
      <c r="AT24" s="396"/>
      <c r="AU24" s="396"/>
      <c r="AV24" s="396"/>
    </row>
    <row r="25" spans="1:48" x14ac:dyDescent="0.25">
      <c r="A25" s="3"/>
      <c r="C25" s="396"/>
      <c r="D25" s="28"/>
      <c r="E25" s="639" t="s">
        <v>27</v>
      </c>
      <c r="F25" s="639" t="s">
        <v>28</v>
      </c>
      <c r="G25" s="639" t="s">
        <v>29</v>
      </c>
      <c r="H25" s="639" t="s">
        <v>325</v>
      </c>
      <c r="I25" s="639" t="s">
        <v>324</v>
      </c>
      <c r="M25" s="3"/>
      <c r="N25" s="3"/>
      <c r="AL25" s="396"/>
      <c r="AM25" s="396"/>
      <c r="AN25" s="396"/>
      <c r="AO25" s="396"/>
      <c r="AP25" s="396"/>
      <c r="AQ25" s="396"/>
      <c r="AR25" s="396"/>
      <c r="AS25" s="396"/>
      <c r="AT25" s="396"/>
      <c r="AU25" s="396"/>
      <c r="AV25" s="396"/>
    </row>
    <row r="26" spans="1:48" x14ac:dyDescent="0.25">
      <c r="C26" s="394" t="s">
        <v>34</v>
      </c>
      <c r="D26" s="633" t="s">
        <v>327</v>
      </c>
      <c r="E26" s="634">
        <v>0.67500000000000004</v>
      </c>
      <c r="F26" s="634">
        <v>0.64800000000000002</v>
      </c>
      <c r="G26" s="634">
        <v>0.59400000000000008</v>
      </c>
      <c r="H26" s="634">
        <v>0.54900000000000004</v>
      </c>
      <c r="I26" s="634">
        <v>0.50400000000000011</v>
      </c>
      <c r="M26" s="3"/>
      <c r="N26" s="3"/>
      <c r="AQ26" s="396"/>
    </row>
    <row r="27" spans="1:48" x14ac:dyDescent="0.25">
      <c r="C27" s="425" t="s">
        <v>33</v>
      </c>
      <c r="D27" s="635"/>
      <c r="E27" s="636">
        <v>0.54</v>
      </c>
      <c r="F27" s="636">
        <v>0.50400000000000011</v>
      </c>
      <c r="G27" s="636">
        <v>0.48600000000000004</v>
      </c>
      <c r="H27" s="636">
        <v>0.46800000000000003</v>
      </c>
      <c r="I27" s="636">
        <v>0.45</v>
      </c>
      <c r="M27" s="3"/>
      <c r="N27" s="3"/>
      <c r="AL27" s="11"/>
      <c r="AN27" s="11"/>
      <c r="AP27" s="11"/>
      <c r="AQ27" s="396"/>
      <c r="AS27" s="11"/>
      <c r="AU27" s="11"/>
    </row>
    <row r="28" spans="1:48" x14ac:dyDescent="0.25">
      <c r="C28" s="425"/>
      <c r="D28" s="633" t="s">
        <v>328</v>
      </c>
      <c r="E28" s="634">
        <v>0.70200000000000007</v>
      </c>
      <c r="F28" s="634">
        <v>0.67500000000000004</v>
      </c>
      <c r="G28" s="634">
        <v>0.6120000000000001</v>
      </c>
      <c r="H28" s="634">
        <v>0.56299999999999994</v>
      </c>
      <c r="I28" s="634">
        <v>0.52649999999999997</v>
      </c>
      <c r="M28" s="3"/>
      <c r="N28" s="3"/>
      <c r="AL28" s="11"/>
      <c r="AN28" s="11"/>
      <c r="AP28" s="11"/>
      <c r="AQ28" s="396"/>
      <c r="AS28" s="11"/>
      <c r="AU28" s="11"/>
    </row>
    <row r="29" spans="1:48" x14ac:dyDescent="0.25">
      <c r="C29" s="425"/>
      <c r="D29" s="635"/>
      <c r="E29" s="636">
        <v>0.45</v>
      </c>
      <c r="F29" s="636">
        <v>0.441</v>
      </c>
      <c r="G29" s="636">
        <v>0.39600000000000002</v>
      </c>
      <c r="H29" s="636">
        <v>0.36899999999999999</v>
      </c>
      <c r="I29" s="636">
        <v>0.34200000000000003</v>
      </c>
      <c r="M29" s="3"/>
      <c r="N29" s="3"/>
      <c r="AL29" s="11"/>
      <c r="AN29" s="11"/>
      <c r="AP29" s="11"/>
      <c r="AQ29" s="396"/>
      <c r="AS29" s="11"/>
      <c r="AU29" s="11"/>
    </row>
    <row r="30" spans="1:48" x14ac:dyDescent="0.25">
      <c r="C30" s="30"/>
      <c r="D30" s="31"/>
      <c r="E30" s="32"/>
      <c r="F30" s="32"/>
      <c r="G30" s="32"/>
      <c r="H30" s="32"/>
      <c r="I30" s="9"/>
      <c r="M30" s="3"/>
      <c r="N30" s="3"/>
      <c r="AL30" s="11"/>
      <c r="AN30" s="11"/>
      <c r="AP30" s="11"/>
      <c r="AQ30" s="396"/>
      <c r="AS30" s="11"/>
      <c r="AU30" s="11"/>
    </row>
    <row r="31" spans="1:48" x14ac:dyDescent="0.25">
      <c r="C31" s="396"/>
      <c r="D31" s="29"/>
      <c r="E31" s="639" t="s">
        <v>31</v>
      </c>
      <c r="F31" s="639" t="s">
        <v>29</v>
      </c>
      <c r="G31" s="639" t="s">
        <v>30</v>
      </c>
      <c r="H31" s="639" t="s">
        <v>326</v>
      </c>
      <c r="I31" s="639" t="s">
        <v>324</v>
      </c>
      <c r="M31" s="3"/>
      <c r="N31" s="3"/>
      <c r="AL31" s="11"/>
      <c r="AN31" s="11"/>
      <c r="AP31" s="11"/>
      <c r="AQ31" s="396"/>
      <c r="AS31" s="11"/>
      <c r="AU31" s="11"/>
    </row>
    <row r="32" spans="1:48" x14ac:dyDescent="0.25">
      <c r="C32" s="394" t="s">
        <v>35</v>
      </c>
      <c r="D32" s="633" t="s">
        <v>327</v>
      </c>
      <c r="E32" s="634">
        <v>0.54900000000000004</v>
      </c>
      <c r="F32" s="634">
        <v>0.54900000000000004</v>
      </c>
      <c r="G32" s="634">
        <v>0.50400000000000011</v>
      </c>
      <c r="H32" s="634">
        <v>0.50400000000000011</v>
      </c>
      <c r="I32" s="634">
        <v>0.50400000000000011</v>
      </c>
      <c r="M32" s="3"/>
      <c r="N32" s="3"/>
      <c r="AL32" s="11"/>
      <c r="AN32" s="11"/>
      <c r="AP32" s="11"/>
      <c r="AQ32" s="396"/>
      <c r="AS32" s="11"/>
      <c r="AU32" s="11"/>
    </row>
    <row r="33" spans="3:47" x14ac:dyDescent="0.25">
      <c r="C33" s="425" t="s">
        <v>5</v>
      </c>
      <c r="D33" s="635"/>
      <c r="E33" s="636">
        <v>0.49500000000000005</v>
      </c>
      <c r="F33" s="636">
        <v>0.49500000000000005</v>
      </c>
      <c r="G33" s="636">
        <v>0.46800000000000003</v>
      </c>
      <c r="H33" s="636">
        <v>0.45</v>
      </c>
      <c r="I33" s="636">
        <v>0.45</v>
      </c>
      <c r="M33" s="3"/>
      <c r="N33" s="3"/>
      <c r="O33" s="396"/>
      <c r="P33" s="396"/>
      <c r="W33" s="12"/>
      <c r="X33" s="12"/>
      <c r="Y33" s="12"/>
      <c r="Z33" s="12"/>
      <c r="AA33" s="12"/>
      <c r="AB33" s="12"/>
      <c r="AC33" s="12"/>
      <c r="AD33" s="12"/>
      <c r="AE33" s="12"/>
      <c r="AG33" s="12"/>
      <c r="AH33" s="12"/>
      <c r="AI33" s="12"/>
      <c r="AJ33" s="12"/>
      <c r="AK33" s="12"/>
      <c r="AL33" s="12"/>
      <c r="AM33" s="12"/>
      <c r="AN33" s="12"/>
      <c r="AO33" s="12"/>
      <c r="AP33" s="12"/>
      <c r="AR33" s="12"/>
      <c r="AS33" s="12"/>
      <c r="AT33" s="12"/>
      <c r="AU33" s="12"/>
    </row>
    <row r="34" spans="3:47" x14ac:dyDescent="0.25">
      <c r="C34" s="425"/>
      <c r="D34" s="633" t="s">
        <v>328</v>
      </c>
      <c r="E34" s="634">
        <v>0.626</v>
      </c>
      <c r="F34" s="634">
        <v>0.57199999999999995</v>
      </c>
      <c r="G34" s="634">
        <v>0.53600000000000003</v>
      </c>
      <c r="H34" s="634">
        <v>0.52700000000000002</v>
      </c>
      <c r="I34" s="634">
        <v>0.52649999999999997</v>
      </c>
      <c r="M34" s="3"/>
      <c r="N34" s="3"/>
      <c r="Z34" s="9"/>
      <c r="AA34" s="2"/>
    </row>
    <row r="35" spans="3:47" x14ac:dyDescent="0.25">
      <c r="C35" s="425"/>
      <c r="D35" s="635"/>
      <c r="E35" s="636">
        <v>0.39600000000000002</v>
      </c>
      <c r="F35" s="636">
        <v>0.36000000000000004</v>
      </c>
      <c r="G35" s="636">
        <v>0.35100000000000003</v>
      </c>
      <c r="H35" s="636">
        <v>0.34200000000000003</v>
      </c>
      <c r="I35" s="636">
        <v>0.34200000000000003</v>
      </c>
      <c r="M35" s="3"/>
      <c r="N35" s="3"/>
      <c r="Z35" s="9"/>
      <c r="AA35" s="2"/>
    </row>
    <row r="36" spans="3:47" x14ac:dyDescent="0.25">
      <c r="C36" s="30"/>
      <c r="D36" s="31"/>
      <c r="E36" s="32"/>
      <c r="F36" s="32"/>
      <c r="G36" s="32"/>
      <c r="H36" s="32"/>
      <c r="M36" s="3"/>
      <c r="N36" s="3"/>
      <c r="Z36" s="9"/>
      <c r="AA36" s="2"/>
    </row>
    <row r="37" spans="3:47" x14ac:dyDescent="0.25">
      <c r="C37" s="396"/>
      <c r="D37" s="29"/>
      <c r="E37" s="639" t="s">
        <v>31</v>
      </c>
      <c r="F37" s="639" t="s">
        <v>48</v>
      </c>
      <c r="G37" s="396"/>
      <c r="H37" s="396"/>
      <c r="M37" s="3"/>
      <c r="N37" s="3"/>
      <c r="Z37" s="9"/>
      <c r="AA37" s="2"/>
    </row>
    <row r="38" spans="3:47" x14ac:dyDescent="0.25">
      <c r="C38" s="394" t="s">
        <v>36</v>
      </c>
      <c r="D38" s="633" t="s">
        <v>43</v>
      </c>
      <c r="E38" s="637">
        <v>11.1</v>
      </c>
      <c r="F38" s="637">
        <v>11.1</v>
      </c>
      <c r="G38" s="9"/>
      <c r="H38" s="9"/>
      <c r="M38" s="3"/>
      <c r="N38" s="3"/>
      <c r="Z38" s="9"/>
      <c r="AA38" s="2"/>
    </row>
    <row r="39" spans="3:47" x14ac:dyDescent="0.25">
      <c r="C39" s="425" t="s">
        <v>32</v>
      </c>
      <c r="D39" s="635"/>
      <c r="E39" s="638">
        <v>15.1</v>
      </c>
      <c r="F39" s="638">
        <v>15.400000000000002</v>
      </c>
      <c r="G39" s="9"/>
      <c r="H39" s="9"/>
      <c r="M39" s="3"/>
      <c r="N39" s="3"/>
      <c r="Z39" s="2"/>
      <c r="AA39" s="2"/>
    </row>
    <row r="40" spans="3:47" x14ac:dyDescent="0.25">
      <c r="C40" s="425"/>
      <c r="D40" s="633" t="s">
        <v>44</v>
      </c>
      <c r="E40" s="637">
        <v>10.7</v>
      </c>
      <c r="F40" s="637">
        <v>10.7</v>
      </c>
      <c r="G40" s="9"/>
      <c r="H40" s="9"/>
    </row>
    <row r="41" spans="3:47" x14ac:dyDescent="0.25">
      <c r="C41" s="425"/>
      <c r="D41" s="635"/>
      <c r="E41" s="638">
        <v>17.399999999999999</v>
      </c>
      <c r="F41" s="638">
        <v>17.7</v>
      </c>
      <c r="G41" s="9"/>
      <c r="H41" s="9"/>
      <c r="M41" s="10"/>
      <c r="N41" s="10"/>
    </row>
    <row r="42" spans="3:47" x14ac:dyDescent="0.25">
      <c r="C42" s="10"/>
      <c r="D42" s="10"/>
      <c r="E42" s="10"/>
      <c r="F42" s="10"/>
      <c r="G42" s="10"/>
      <c r="H42" s="10"/>
      <c r="J42" s="10"/>
      <c r="K42" s="10"/>
      <c r="L42" s="10"/>
      <c r="M42" s="10"/>
      <c r="N42" s="10"/>
    </row>
  </sheetData>
  <sheetProtection algorithmName="SHA-512" hashValue="z+VfusE0lCOEr+xSakXKwjXc0l7esbrfAGavGv27nSmko0Myq2sYMQ6PwblUO+A5EUjN7nakkq/smsov5NjIOA==" saltValue="b+pvLzFlvRo47CKyVZjCFQ==" spinCount="100000" sheet="1" objects="1" scenarios="1" selectLockedCells="1"/>
  <mergeCells count="48">
    <mergeCell ref="R10:U10"/>
    <mergeCell ref="W10:AA10"/>
    <mergeCell ref="AC10:AG10"/>
    <mergeCell ref="AI10:AJ10"/>
    <mergeCell ref="B1:D1"/>
    <mergeCell ref="E1:M1"/>
    <mergeCell ref="B23:M23"/>
    <mergeCell ref="B20:L20"/>
    <mergeCell ref="H14:I14"/>
    <mergeCell ref="H13:I13"/>
    <mergeCell ref="D13:E13"/>
    <mergeCell ref="L11:L12"/>
    <mergeCell ref="D14:E14"/>
    <mergeCell ref="B14:C14"/>
    <mergeCell ref="M11:M12"/>
    <mergeCell ref="B11:C12"/>
    <mergeCell ref="B15:C15"/>
    <mergeCell ref="B16:C16"/>
    <mergeCell ref="B17:C17"/>
    <mergeCell ref="B19:C19"/>
    <mergeCell ref="C33:C35"/>
    <mergeCell ref="C39:C41"/>
    <mergeCell ref="D26:D27"/>
    <mergeCell ref="D32:D33"/>
    <mergeCell ref="D34:D35"/>
    <mergeCell ref="D38:D39"/>
    <mergeCell ref="D40:D41"/>
    <mergeCell ref="C27:C29"/>
    <mergeCell ref="D19:E19"/>
    <mergeCell ref="D28:D29"/>
    <mergeCell ref="H15:I15"/>
    <mergeCell ref="H16:I16"/>
    <mergeCell ref="H19:I19"/>
    <mergeCell ref="H17:I17"/>
    <mergeCell ref="H18:I18"/>
    <mergeCell ref="D17:E17"/>
    <mergeCell ref="D18:E18"/>
    <mergeCell ref="D16:E16"/>
    <mergeCell ref="D15:E15"/>
    <mergeCell ref="B13:C13"/>
    <mergeCell ref="B18:C18"/>
    <mergeCell ref="E3:F3"/>
    <mergeCell ref="J11:J12"/>
    <mergeCell ref="K11:K12"/>
    <mergeCell ref="H11:I12"/>
    <mergeCell ref="D11:E12"/>
    <mergeCell ref="G11:G12"/>
    <mergeCell ref="F11:F12"/>
  </mergeCells>
  <conditionalFormatting sqref="W13:AA19">
    <cfRule type="expression" dxfId="2" priority="1">
      <formula>AND($O13=1,W13=TRUE)</formula>
    </cfRule>
  </conditionalFormatting>
  <conditionalFormatting sqref="AC13:AG19">
    <cfRule type="expression" dxfId="1" priority="2">
      <formula>AND($O13=2,AC13=TRUE)</formula>
    </cfRule>
  </conditionalFormatting>
  <conditionalFormatting sqref="AI13:AJ19">
    <cfRule type="expression" dxfId="0" priority="3">
      <formula>AND($O13=3,AI13=TRUE)</formula>
    </cfRule>
  </conditionalFormatting>
  <dataValidations count="1">
    <dataValidation type="list" allowBlank="1" showInputMessage="1" showErrorMessage="1" sqref="F13:F19" xr:uid="{00000000-0002-0000-0000-000000000000}">
      <formula1>$O$5:$O$9</formula1>
    </dataValidation>
  </dataValidations>
  <pageMargins left="0.45" right="0.45" top="0.5" bottom="0.5" header="0.3" footer="0.3"/>
  <pageSetup scale="74" orientation="landscape" r:id="rId1"/>
  <headerFooter>
    <oddHeader>&amp;C&amp;"Arial"&amp;9&amp;K000000 Leidos Proprietary&amp;1#_x000D_</oddHeader>
    <oddFooter>&amp;C&amp;"Arial,Regular"&amp;8Questions: Call the Business Program 839-8880 (Oahu) or toll free at 877-231-8222_x000D_&amp;1#&amp;"Arial"&amp;8&amp;K000000 The information in this document is proprietary to Leidos. It may not be used, reproduced, disclosed, or exported without the writt</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AC_HP_EFLH_CF!$A$7:$A$15</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7E4-C885-47FC-AD78-A2C87D224634}">
  <sheetPr>
    <pageSetUpPr fitToPage="1"/>
  </sheetPr>
  <dimension ref="B1:BW99"/>
  <sheetViews>
    <sheetView showGridLines="0" zoomScaleNormal="100" workbookViewId="0">
      <selection activeCell="F3" sqref="F3:G3"/>
    </sheetView>
  </sheetViews>
  <sheetFormatPr defaultColWidth="8.85546875" defaultRowHeight="15" x14ac:dyDescent="0.25"/>
  <cols>
    <col min="1" max="1" width="2.7109375" style="1" customWidth="1"/>
    <col min="2" max="7" width="11" style="1" customWidth="1"/>
    <col min="8" max="8" width="21" style="1" customWidth="1"/>
    <col min="9" max="9" width="17" style="1" bestFit="1" customWidth="1"/>
    <col min="10" max="10" width="30.140625" style="1" bestFit="1" customWidth="1"/>
    <col min="11" max="12" width="16.7109375" style="1" customWidth="1"/>
    <col min="13" max="13" width="12.7109375" style="1" customWidth="1"/>
    <col min="14" max="15" width="6.7109375" style="1" customWidth="1"/>
    <col min="16" max="16" width="16.7109375" style="1" customWidth="1"/>
    <col min="17" max="17" width="2.7109375" style="1" customWidth="1"/>
    <col min="18" max="18" width="9.140625" style="1" hidden="1" customWidth="1"/>
    <col min="19" max="19" width="7.42578125" style="1" hidden="1" customWidth="1"/>
    <col min="20" max="20" width="10.5703125" style="1" hidden="1" customWidth="1"/>
    <col min="21" max="24" width="7.85546875" style="1" hidden="1" customWidth="1"/>
    <col min="25" max="25" width="7.140625" style="1" hidden="1" customWidth="1"/>
    <col min="26" max="26" width="2.7109375" style="1" hidden="1" customWidth="1"/>
    <col min="27" max="27" width="8.28515625" style="1" hidden="1" customWidth="1"/>
    <col min="28" max="28" width="5.85546875" style="1" hidden="1" customWidth="1"/>
    <col min="29" max="29" width="2.7109375" style="1" hidden="1" customWidth="1"/>
    <col min="30" max="30" width="8.5703125" style="1" hidden="1" customWidth="1"/>
    <col min="31" max="31" width="13.5703125" style="1" hidden="1" customWidth="1"/>
    <col min="32" max="32" width="8.28515625" style="1" hidden="1" customWidth="1"/>
    <col min="33" max="33" width="7.140625" style="1" hidden="1" customWidth="1"/>
    <col min="34" max="34" width="2.7109375" style="1" hidden="1" customWidth="1"/>
    <col min="35" max="35" width="8.5703125" style="1" hidden="1" customWidth="1"/>
    <col min="36" max="36" width="8.28515625" style="1" hidden="1" customWidth="1"/>
    <col min="37" max="37" width="6" style="1" hidden="1" customWidth="1"/>
    <col min="38" max="38" width="2.7109375" style="1" hidden="1" customWidth="1"/>
    <col min="39" max="39" width="8.5703125" style="1" hidden="1" customWidth="1"/>
    <col min="40" max="40" width="8.28515625" style="1" hidden="1" customWidth="1"/>
    <col min="41" max="41" width="7.140625" style="1" hidden="1" customWidth="1"/>
    <col min="42" max="42" width="2.7109375" style="1" hidden="1" customWidth="1"/>
    <col min="43" max="43" width="10" style="1" hidden="1" customWidth="1"/>
    <col min="44" max="44" width="6.28515625" style="1" hidden="1" customWidth="1"/>
    <col min="45" max="45" width="8.7109375" style="1" hidden="1" customWidth="1"/>
    <col min="46" max="46" width="2.7109375" style="1" hidden="1" customWidth="1"/>
    <col min="47" max="51" width="8.85546875" style="1" hidden="1" customWidth="1"/>
    <col min="52" max="52" width="2.7109375" style="1" hidden="1" customWidth="1"/>
    <col min="53" max="57" width="8.85546875" style="1" hidden="1" customWidth="1"/>
    <col min="58" max="58" width="2.7109375" style="1" hidden="1" customWidth="1"/>
    <col min="59" max="63" width="8.85546875" style="1" hidden="1" customWidth="1"/>
    <col min="64" max="64" width="2.7109375" style="1" hidden="1" customWidth="1"/>
    <col min="65" max="69" width="8.85546875" style="1" hidden="1" customWidth="1"/>
    <col min="70" max="70" width="2.7109375" style="1" hidden="1" customWidth="1"/>
    <col min="71" max="75" width="8.85546875" style="1" hidden="1" customWidth="1"/>
    <col min="76" max="16384" width="8.85546875" style="1"/>
  </cols>
  <sheetData>
    <row r="1" spans="2:75" ht="54" customHeight="1" thickBot="1" x14ac:dyDescent="0.3">
      <c r="B1" s="489"/>
      <c r="C1" s="490"/>
      <c r="D1" s="490"/>
      <c r="E1" s="491"/>
      <c r="F1" s="492" t="s">
        <v>304</v>
      </c>
      <c r="G1" s="493"/>
      <c r="H1" s="493"/>
      <c r="I1" s="493"/>
      <c r="J1" s="493"/>
      <c r="K1" s="493"/>
      <c r="L1" s="493"/>
      <c r="M1" s="493"/>
      <c r="N1" s="493"/>
      <c r="O1" s="493"/>
      <c r="P1" s="494"/>
      <c r="R1" s="315"/>
    </row>
    <row r="2" spans="2:75" ht="15" customHeight="1" x14ac:dyDescent="0.25">
      <c r="B2" s="11"/>
      <c r="C2" s="11"/>
      <c r="D2" s="11"/>
      <c r="E2" s="316"/>
      <c r="F2" s="316"/>
      <c r="G2" s="316"/>
      <c r="H2" s="317"/>
      <c r="I2" s="317"/>
      <c r="J2" s="317"/>
      <c r="K2" s="317"/>
      <c r="L2" s="317"/>
      <c r="M2" s="317"/>
      <c r="N2" s="317"/>
      <c r="O2" s="317"/>
      <c r="P2" s="318"/>
      <c r="R2" s="8"/>
    </row>
    <row r="3" spans="2:75" ht="14.45" customHeight="1" x14ac:dyDescent="0.25">
      <c r="B3" s="319"/>
      <c r="C3" s="319"/>
      <c r="E3" s="252" t="s">
        <v>59</v>
      </c>
      <c r="F3" s="495"/>
      <c r="G3" s="495"/>
      <c r="H3" s="320"/>
      <c r="I3" s="320"/>
      <c r="K3" s="33"/>
      <c r="L3" s="187"/>
      <c r="M3" s="187"/>
      <c r="N3" s="187"/>
      <c r="O3" s="33"/>
    </row>
    <row r="4" spans="2:75" s="184" customFormat="1" ht="14.45" customHeight="1" x14ac:dyDescent="0.25">
      <c r="B4" s="321"/>
      <c r="C4" s="321"/>
      <c r="D4" s="321"/>
      <c r="E4" s="322"/>
      <c r="F4" s="322"/>
      <c r="G4" s="322"/>
      <c r="H4" s="322"/>
      <c r="I4" s="322"/>
      <c r="J4" s="323"/>
      <c r="K4" s="5"/>
      <c r="L4" s="5"/>
      <c r="M4" s="5"/>
      <c r="N4" s="5"/>
    </row>
    <row r="5" spans="2:75" x14ac:dyDescent="0.25">
      <c r="B5" s="34" t="s">
        <v>46</v>
      </c>
      <c r="I5" s="4"/>
    </row>
    <row r="6" spans="2:75" x14ac:dyDescent="0.25">
      <c r="B6" s="35" t="s">
        <v>58</v>
      </c>
      <c r="I6" s="4"/>
    </row>
    <row r="7" spans="2:75" x14ac:dyDescent="0.25">
      <c r="B7" s="35"/>
      <c r="C7" s="1" t="s">
        <v>296</v>
      </c>
      <c r="I7" s="4"/>
    </row>
    <row r="8" spans="2:75" x14ac:dyDescent="0.25">
      <c r="B8" s="35"/>
      <c r="C8" s="1" t="s">
        <v>295</v>
      </c>
      <c r="I8" s="4"/>
    </row>
    <row r="9" spans="2:75" x14ac:dyDescent="0.25">
      <c r="B9" s="35"/>
      <c r="C9" s="1" t="s">
        <v>297</v>
      </c>
      <c r="I9" s="4"/>
    </row>
    <row r="10" spans="2:75" x14ac:dyDescent="0.25">
      <c r="B10" s="35"/>
      <c r="C10" s="1" t="s">
        <v>298</v>
      </c>
      <c r="I10" s="4"/>
      <c r="AQ10" s="1" t="s">
        <v>181</v>
      </c>
    </row>
    <row r="11" spans="2:75" ht="14.45" customHeight="1" thickBot="1" x14ac:dyDescent="0.3">
      <c r="B11" s="453"/>
      <c r="C11" s="453"/>
      <c r="D11" s="453"/>
      <c r="E11" s="453"/>
      <c r="F11" s="453"/>
      <c r="G11" s="453"/>
      <c r="H11" s="453"/>
      <c r="I11" s="453"/>
      <c r="J11" s="453"/>
      <c r="K11" s="453"/>
      <c r="L11" s="453"/>
      <c r="M11" s="453"/>
      <c r="N11" s="453"/>
      <c r="O11" s="453"/>
      <c r="P11" s="453"/>
      <c r="R11" s="450" t="s">
        <v>182</v>
      </c>
      <c r="S11" s="451"/>
      <c r="T11" s="451"/>
      <c r="U11" s="451"/>
      <c r="V11" s="451"/>
      <c r="W11" s="451"/>
      <c r="X11" s="451"/>
      <c r="Y11" s="452"/>
      <c r="Z11" s="8"/>
      <c r="AA11" s="450" t="s">
        <v>164</v>
      </c>
      <c r="AB11" s="452"/>
      <c r="AC11" s="8"/>
      <c r="AD11" s="454" t="s">
        <v>183</v>
      </c>
      <c r="AE11" s="454"/>
      <c r="AF11" s="454"/>
      <c r="AG11" s="454"/>
      <c r="AH11" s="8"/>
      <c r="AI11" s="454" t="s">
        <v>184</v>
      </c>
      <c r="AJ11" s="454"/>
      <c r="AK11" s="454"/>
      <c r="AL11" s="8"/>
      <c r="AM11" s="450" t="s">
        <v>185</v>
      </c>
      <c r="AN11" s="451"/>
      <c r="AO11" s="452"/>
      <c r="AP11" s="8"/>
      <c r="AQ11" s="450" t="s">
        <v>186</v>
      </c>
      <c r="AR11" s="451"/>
      <c r="AS11" s="452"/>
      <c r="AT11" s="8"/>
      <c r="AU11" s="450" t="s">
        <v>187</v>
      </c>
      <c r="AV11" s="451"/>
      <c r="AW11" s="451"/>
      <c r="AX11" s="451"/>
      <c r="AY11" s="452"/>
      <c r="AZ11" s="8"/>
      <c r="BA11" s="450" t="s">
        <v>188</v>
      </c>
      <c r="BB11" s="451"/>
      <c r="BC11" s="451"/>
      <c r="BD11" s="451"/>
      <c r="BE11" s="452"/>
      <c r="BF11" s="8"/>
      <c r="BG11" s="450" t="s">
        <v>189</v>
      </c>
      <c r="BH11" s="451"/>
      <c r="BI11" s="451"/>
      <c r="BJ11" s="451"/>
      <c r="BK11" s="452"/>
      <c r="BL11" s="8"/>
      <c r="BM11" s="450" t="s">
        <v>190</v>
      </c>
      <c r="BN11" s="451"/>
      <c r="BO11" s="451"/>
      <c r="BP11" s="451"/>
      <c r="BQ11" s="452"/>
      <c r="BR11" s="8"/>
      <c r="BS11" s="450" t="s">
        <v>191</v>
      </c>
      <c r="BT11" s="451"/>
      <c r="BU11" s="451"/>
      <c r="BV11" s="451"/>
      <c r="BW11" s="452"/>
    </row>
    <row r="12" spans="2:75" ht="30" customHeight="1" x14ac:dyDescent="0.25">
      <c r="B12" s="455" t="s">
        <v>14</v>
      </c>
      <c r="C12" s="456"/>
      <c r="D12" s="456"/>
      <c r="E12" s="456" t="s">
        <v>15</v>
      </c>
      <c r="F12" s="456"/>
      <c r="G12" s="456"/>
      <c r="H12" s="228" t="s">
        <v>16</v>
      </c>
      <c r="I12" s="228" t="s">
        <v>192</v>
      </c>
      <c r="J12" s="228" t="s">
        <v>60</v>
      </c>
      <c r="K12" s="228" t="s">
        <v>193</v>
      </c>
      <c r="L12" s="228" t="s">
        <v>194</v>
      </c>
      <c r="M12" s="228" t="s">
        <v>195</v>
      </c>
      <c r="N12" s="456" t="s">
        <v>196</v>
      </c>
      <c r="O12" s="456"/>
      <c r="P12" s="324" t="s">
        <v>17</v>
      </c>
      <c r="R12" s="261" t="s">
        <v>197</v>
      </c>
      <c r="S12" s="261" t="s">
        <v>198</v>
      </c>
      <c r="T12" s="261" t="s">
        <v>199</v>
      </c>
      <c r="U12" s="261" t="s">
        <v>200</v>
      </c>
      <c r="V12" s="261" t="s">
        <v>201</v>
      </c>
      <c r="W12" s="261" t="s">
        <v>202</v>
      </c>
      <c r="X12" s="261" t="s">
        <v>203</v>
      </c>
      <c r="Y12" s="261" t="s">
        <v>17</v>
      </c>
      <c r="Z12" s="8"/>
      <c r="AA12" s="261" t="s">
        <v>54</v>
      </c>
      <c r="AB12" s="261" t="s">
        <v>17</v>
      </c>
      <c r="AC12" s="8"/>
      <c r="AD12" s="261" t="s">
        <v>197</v>
      </c>
      <c r="AE12" s="261" t="s">
        <v>204</v>
      </c>
      <c r="AF12" s="261" t="s">
        <v>205</v>
      </c>
      <c r="AG12" s="261" t="s">
        <v>17</v>
      </c>
      <c r="AH12" s="8"/>
      <c r="AI12" s="261" t="s">
        <v>197</v>
      </c>
      <c r="AJ12" s="261" t="s">
        <v>54</v>
      </c>
      <c r="AK12" s="261" t="s">
        <v>17</v>
      </c>
      <c r="AL12" s="8"/>
      <c r="AM12" s="261" t="s">
        <v>197</v>
      </c>
      <c r="AN12" s="261" t="s">
        <v>54</v>
      </c>
      <c r="AO12" s="261" t="s">
        <v>17</v>
      </c>
      <c r="AP12" s="8"/>
      <c r="AQ12" s="261" t="s">
        <v>206</v>
      </c>
      <c r="AR12" s="261" t="s">
        <v>207</v>
      </c>
      <c r="AS12" s="261" t="s">
        <v>17</v>
      </c>
      <c r="AT12" s="8"/>
      <c r="AU12" s="261" t="s">
        <v>197</v>
      </c>
      <c r="AV12" s="261" t="s">
        <v>199</v>
      </c>
      <c r="AW12" s="261" t="s">
        <v>201</v>
      </c>
      <c r="AX12" s="261" t="s">
        <v>203</v>
      </c>
      <c r="AY12" s="261" t="s">
        <v>17</v>
      </c>
      <c r="AZ12" s="8"/>
      <c r="BA12" s="261" t="s">
        <v>197</v>
      </c>
      <c r="BB12" s="261" t="s">
        <v>199</v>
      </c>
      <c r="BC12" s="261" t="s">
        <v>201</v>
      </c>
      <c r="BD12" s="261" t="s">
        <v>203</v>
      </c>
      <c r="BE12" s="261" t="s">
        <v>17</v>
      </c>
      <c r="BF12" s="8"/>
      <c r="BG12" s="261" t="s">
        <v>197</v>
      </c>
      <c r="BH12" s="261" t="s">
        <v>199</v>
      </c>
      <c r="BI12" s="261" t="s">
        <v>201</v>
      </c>
      <c r="BJ12" s="261" t="s">
        <v>203</v>
      </c>
      <c r="BK12" s="261" t="s">
        <v>17</v>
      </c>
      <c r="BL12" s="8"/>
      <c r="BM12" s="261" t="s">
        <v>197</v>
      </c>
      <c r="BN12" s="261" t="s">
        <v>199</v>
      </c>
      <c r="BO12" s="261" t="s">
        <v>201</v>
      </c>
      <c r="BP12" s="261" t="s">
        <v>203</v>
      </c>
      <c r="BQ12" s="261" t="s">
        <v>17</v>
      </c>
      <c r="BR12" s="8"/>
      <c r="BS12" s="261" t="s">
        <v>197</v>
      </c>
      <c r="BT12" s="261" t="s">
        <v>199</v>
      </c>
      <c r="BU12" s="261" t="s">
        <v>201</v>
      </c>
      <c r="BV12" s="261" t="s">
        <v>203</v>
      </c>
      <c r="BW12" s="261" t="s">
        <v>17</v>
      </c>
    </row>
    <row r="13" spans="2:75" x14ac:dyDescent="0.25">
      <c r="B13" s="457" t="s">
        <v>208</v>
      </c>
      <c r="C13" s="458"/>
      <c r="D13" s="458"/>
      <c r="E13" s="458" t="s">
        <v>209</v>
      </c>
      <c r="F13" s="458"/>
      <c r="G13" s="458"/>
      <c r="H13" s="325">
        <v>1</v>
      </c>
      <c r="I13" s="325" t="s">
        <v>210</v>
      </c>
      <c r="J13" s="325" t="s">
        <v>211</v>
      </c>
      <c r="K13" s="205">
        <v>72000</v>
      </c>
      <c r="L13" s="206">
        <f>IFERROR(ROUND(K13/12000,2),"")</f>
        <v>6</v>
      </c>
      <c r="M13" s="207">
        <v>11.2</v>
      </c>
      <c r="N13" s="207">
        <v>16.3</v>
      </c>
      <c r="O13" s="326" t="str">
        <f t="shared" ref="O13:O22" si="0">IF(AND(L13&gt;$E$30,L13&lt;$G$31,OR(J13=$R$27,J13=$R$28,J13=$R$29,J13=$R$30)),"SEER2",IF(AND(L13&gt;=$E$47,OR(J13=$R$31,J13=$R$32,J13=$R$37)),"IEER",IF(AND(OR(AND(L13&gt;$E$86,L13&lt;$G$86),AND(L13&gt;$E$88,L13&lt;$G$88)),OR(J13=$R$33,J13=$R$34,J13=$R$35,J13=$R$36)),"",IF(AND(L13&gt;$E$63,L13&lt;$G$64,J13=$R$38),"",IF(AND(L13&gt;$E$70,L13&lt;$G$71,J13=$R$39),"",IF(AND(L13&gt;$E$77,J13=$R$40),"CEER",""))))))</f>
        <v>IEER</v>
      </c>
      <c r="P13" s="198">
        <f>IF(L13&gt;=20,"Contact Advisor",IFERROR(
      IF(OR(J13=$R$31,J13=$R$32), H13*L13*Y13,IF(AND(I13=$R$44,OR(J13=$R$27,J13=$R$28)),H13*L13*AY13,IF(AND(I13=$R$44,OR(J13=$R$29,J13=$R$30)),H13*L13*BE13,IF(AND(I13=$R$45,OR(J13=$R$27,J13=$R$28)),H13*L13*BK13,IF(AND(I13=$R$45,J13=$R$29),H13*L13*BQ13,IF(AND(I13=$R$45,J13=$R$30),H13*L13*BW13,
          IF(OR(J13=$R$33,J13=$R$34,J13=$R$35,J13=$R$36), H13*L13*AB13,
              IF(J13=$R$37, H13*L13*AG13,
                  IF(J13=$R$39, H13*L13*AO13,
                      IF(J13=$R$38, H13*L13*AK13,IF(J13=$R$39, H13*L13*AO13,
                          IF(AND(L13&gt;0,J13=$R$40),H13*AS13,
                          "")))))))))))), "DNQ"))</f>
        <v>600</v>
      </c>
      <c r="R13" s="282">
        <f t="shared" ref="R13:R22" si="1">IF(AND(L13&gt;=$E$47,L13&lt;$E$48),$G$47,IF(AND(L13&gt;=$E$48,L13&lt;$E$49),$G$48,IF(L13&gt;=$E$49," ",0)))</f>
        <v>11.25</v>
      </c>
      <c r="S13" s="282">
        <f t="shared" ref="S13:S22" si="2">INDEX($H$47:$M$49,MATCH($R13,$G$47:$G$49,0),1)</f>
        <v>16.3</v>
      </c>
      <c r="T13" s="282">
        <f t="shared" ref="T13:T22" si="3">INDEX($H$47:$M$49,MATCH($R13,$G$47:$G$49,0)+1,1)</f>
        <v>15.6</v>
      </c>
      <c r="U13" s="282">
        <f t="shared" ref="U13:U22" si="4">INDEX($H$47:$M$49,MATCH($R13,$G$47:$G$49,0),3)</f>
        <v>17.8</v>
      </c>
      <c r="V13" s="282">
        <f t="shared" ref="V13:V22" si="5">INDEX($H$47:$M$49,MATCH($R13,$G$47:$G$49,0)+1,3)</f>
        <v>17</v>
      </c>
      <c r="W13" s="282">
        <f t="shared" ref="W13:W22" si="6">INDEX($H$47:$M$49,MATCH($R13,$G$47:$G$49,0),5)</f>
        <v>19.600000000000001</v>
      </c>
      <c r="X13" s="282">
        <f t="shared" ref="X13:X22" si="7">INDEX($H$47:$M$49,MATCH($R13,$G$47:$G$49,0)+1,5)</f>
        <v>18.7</v>
      </c>
      <c r="Y13" s="282">
        <f t="shared" ref="Y13:Y22" si="8">IF(N13&gt;=$X13, $L$50, IF(N13&gt;=$V13, $J$50, IF(N13&gt;=$T13, $H$50, "DNQ")))</f>
        <v>100</v>
      </c>
      <c r="Z13" s="8"/>
      <c r="AA13" s="282" t="str">
        <f t="shared" ref="AA13:AA22" si="9">IF(AND(L13&gt;$E$86,L13&lt;$G$86,OR(J13=$R$33,J13=$R$35)),$H$86,IF(AND(L13&gt;$E$86,L13&lt;$G$86,OR(J13=$R$34)),$I$86,IF(AND(L13&gt;$E$86,L13&lt;$G$86,OR(J13=$R$36)),$K$86,IF(AND(L13&gt;=$E$88,L13&lt;$G$88,OR(J13=$R$33,J13=$R$35)),$H$88,IF(AND(L13&gt;=$E$88,L13&lt;$G$88,OR(J13=$R$34)),$I$88,IF(AND(L13&gt;=$E$88,L13&lt;$G$88,OR(J13=$R$36)),$K$88,IF(AND(L13&gt;=$E$87,L13&lt;$G$87,OR(J13=$R$33,J13=$R$35)),(14-(0.3*K13/1000))*1.1,IF(AND(L13&gt;=$E$87,L13&lt;$G$87,OR(J13=$R$34)),(10.9-(0.213*K13/1000))*1.1,IF(AND(L13&gt;=$E$87,L13&lt;$G$87,OR(J13=$R$36)),(10.8-(0.213*K13/1000))*1.1,"Error")))))))))</f>
        <v>Error</v>
      </c>
      <c r="AB13" s="282" t="str">
        <f t="shared" ref="AB13:AB22" si="10">IF(M13&gt;=AA13,$H$89, "DNQ")</f>
        <v>DNQ</v>
      </c>
      <c r="AC13" s="8"/>
      <c r="AD13" s="282">
        <f t="shared" ref="AD13:AD22" si="11">IF(AND( L13&gt;=$E$53, L13&lt;$G$53), $G$53,
          IF(AND(L13&gt;=$E$55, L13&lt;$G$55), $G$55,
              IF(L13&gt;=$E$57, $G$57,
                  0)))</f>
        <v>11.25</v>
      </c>
      <c r="AE13" s="282">
        <f t="shared" ref="AE13:AE22" si="12">INDEX($H$53:$H$58,MATCH($AD13,$G$53:$G$58,0),1)</f>
        <v>11</v>
      </c>
      <c r="AF13" s="282">
        <f t="shared" ref="AF13:AF22" si="13">INDEX($H$53:$H$58, MATCH($AD13,$G$53:$G$58,0)+1, 1)</f>
        <v>15.5</v>
      </c>
      <c r="AG13" s="282">
        <f t="shared" ref="AG13:AG22" si="14">IF(AE13="Contact Hawaii Energy", 0,
      IF(AND(M13&gt;=AE13, N13&gt;=AF13), $H$66,
          "DNQ"))</f>
        <v>100</v>
      </c>
      <c r="AH13" s="8"/>
      <c r="AI13" s="282">
        <f t="shared" ref="AI13:AI22" si="15">IF(AND(L13&gt;$E$63, L13&lt;$G$63), $G$63,
      IF(AND(L13&gt;=$E$64, L13&lt;$G$64), $G$64,
          IF(L13&gt;=$E$65, $G$65,
              0)))</f>
        <v>11.25</v>
      </c>
      <c r="AJ13" s="282">
        <f t="shared" ref="AJ13:AJ22" si="16">VLOOKUP(AI13,$G$63:$H$65,2,FALSE)</f>
        <v>14.3</v>
      </c>
      <c r="AK13" s="282" t="str">
        <f t="shared" ref="AK13:AK22" si="17">IF(AJ13="Contact Hawaii Energy", 0,
      IF(M13&gt;=AJ13, $H$66,
          "DNQ"))</f>
        <v>DNQ</v>
      </c>
      <c r="AL13" s="8"/>
      <c r="AM13" s="282">
        <f t="shared" ref="AM13:AM22" si="18">IF(AND(L13&gt;$E$70,L13&lt;$G$70),$G$70,
IF(AND(L13&gt;=$E$71,L13&lt;$G$71),$G$71,
IF(L13&gt;=$E$72,$G$72,
"Error")))</f>
        <v>20</v>
      </c>
      <c r="AN13" s="282">
        <f t="shared" ref="AN13:AN22" si="19">VLOOKUP(AM13,$G$70:$H$72,2,FALSE)</f>
        <v>11</v>
      </c>
      <c r="AO13" s="282">
        <f t="shared" ref="AO13:AO22" si="20">IF(AN13="Contact Hawaii Energy", 0,
      IF(M13&gt;=AN13, $H$73,
          "DNQ"))</f>
        <v>100</v>
      </c>
      <c r="AP13" s="8"/>
      <c r="AQ13" s="282" t="str">
        <f t="array" ref="AQ13">IFERROR(INDEX($G$77:$G$79,MATCH(1,($L13&gt;=$E$77:$E$80)*($L13&lt;$G$77:$G$79),0)),"Error")</f>
        <v>Error</v>
      </c>
      <c r="AR13" s="282" t="e">
        <f t="shared" ref="AR13:AR22" si="21">INDEX($H$77:$H$80,MATCH(AQ13,$G$77:$G$79,0))</f>
        <v>#N/A</v>
      </c>
      <c r="AS13" s="282" t="e">
        <f t="shared" ref="AS13:AS22" si="22">IF(ISBLANK(N13),"DNQ", IF(N13&gt;=AR13, $H$81, "DNQ"))</f>
        <v>#N/A</v>
      </c>
      <c r="AT13" s="8"/>
      <c r="AU13" s="282">
        <f t="shared" ref="AU13:AU22" si="23">IF(AND(L13&gt;=$E$30,L13&lt;$E$31),$G$30,IF(AND(L13&gt;=$E$31,L13&lt;$G$31),$G$31,0))</f>
        <v>0</v>
      </c>
      <c r="AV13" s="282" t="e">
        <f t="shared" ref="AV13:AV22" si="24">INDEX($H$30:$M$31,MATCH(AU13,$G$30:$G$31,0),1)</f>
        <v>#N/A</v>
      </c>
      <c r="AW13" s="282" t="e">
        <f t="shared" ref="AW13:AW22" si="25">INDEX($H$30:$M$31,MATCH(AU13,$G$30:$G$31,0),3)</f>
        <v>#N/A</v>
      </c>
      <c r="AX13" s="282" t="e">
        <f t="shared" ref="AX13:AX22" si="26">INDEX($H$30:$M$31,MATCH(AU13,$G$30:$G$31,0),5)</f>
        <v>#N/A</v>
      </c>
      <c r="AY13" s="282" t="e">
        <f t="shared" ref="AY13:AY22" si="27">IF(N13&gt;=AX13,$L$34,IF(N13&gt;=AW13,$J$34,IF(N13&gt;=AV13,$H$34,"DNQ")))</f>
        <v>#N/A</v>
      </c>
      <c r="AZ13" s="8"/>
      <c r="BA13" s="282">
        <f t="shared" ref="BA13:BA22" si="28">$G$33</f>
        <v>5.4169999999999998</v>
      </c>
      <c r="BB13" s="282">
        <f t="shared" ref="BB13:BB22" si="29">INDEX($H$33:$M$33,MATCH(BA13,$G$33,0),1)</f>
        <v>15.2</v>
      </c>
      <c r="BC13" s="282">
        <f t="shared" ref="BC13:BC22" si="30">INDEX($H$33:$M$33,MATCH(BA13,$G$33,0),3)</f>
        <v>16.7</v>
      </c>
      <c r="BD13" s="282">
        <f t="shared" ref="BD13:BD22" si="31">INDEX($H$33:$M$33,MATCH(BA13,$G$33,0),5)</f>
        <v>18.2</v>
      </c>
      <c r="BE13" s="282">
        <f t="shared" ref="BE13:BE22" si="32">IF(N13&gt;=BD13, $L$34, IF(N13&gt;=BC13, $J$34, IF(N13&gt;=BB13, $H$34, "DNQ")))</f>
        <v>100</v>
      </c>
      <c r="BF13" s="8"/>
      <c r="BG13" s="282">
        <f t="shared" ref="BG13:BG22" si="33">$G$39</f>
        <v>5.4169999999999998</v>
      </c>
      <c r="BH13" s="282">
        <f t="shared" ref="BH13:BH22" si="34">INDEX($H$39:$M$39,MATCH(BG13,$G$39,0),1)</f>
        <v>14.7</v>
      </c>
      <c r="BI13" s="282">
        <f t="shared" ref="BI13:BI22" si="35">INDEX($H$39:$M$39,MATCH(BG13,$G$39,0),3)</f>
        <v>16.100000000000001</v>
      </c>
      <c r="BJ13" s="282">
        <f t="shared" ref="BJ13:BJ22" si="36">INDEX($H$39:$M$39,MATCH(BG13,$G$39,0),5)</f>
        <v>17.600000000000001</v>
      </c>
      <c r="BK13" s="282">
        <f t="shared" ref="BK13:BK22" si="37">IF(N13&gt;=BJ13, $L$42, IF(N13&gt;=BI13, $J$42, IF(N13&gt;=BH13, $H$42, "DNQ")))</f>
        <v>175</v>
      </c>
      <c r="BL13" s="8"/>
      <c r="BM13" s="282">
        <f t="shared" ref="BM13:BM22" si="38">$G$41</f>
        <v>5.4169999999999998</v>
      </c>
      <c r="BN13" s="282">
        <f t="shared" ref="BN13:BN22" si="39">INDEX($H$41:$M$41,MATCH(BM13,$G$41,0),1)</f>
        <v>14.7</v>
      </c>
      <c r="BO13" s="282">
        <f t="shared" ref="BO13:BO22" si="40">INDEX($H$41:$M$41,MATCH(BM13,$G$41,0),3)</f>
        <v>16.100000000000001</v>
      </c>
      <c r="BP13" s="282">
        <f t="shared" ref="BP13:BP22" si="41">INDEX($H$41:$M$41,MATCH(BM13,$G$41,0),5)</f>
        <v>17.600000000000001</v>
      </c>
      <c r="BQ13" s="282">
        <f t="shared" ref="BQ13:BQ22" si="42">IF(N13&gt;=BP13, $L$42, IF(N13&gt;=BO13, $J$42, IF(N13&gt;=BN13, $H$42, "DNQ")))</f>
        <v>175</v>
      </c>
      <c r="BR13" s="8"/>
      <c r="BS13" s="282">
        <f t="shared" ref="BS13:BS22" si="43">$G$41</f>
        <v>5.4169999999999998</v>
      </c>
      <c r="BT13" s="282">
        <f t="shared" ref="BT13:BT22" si="44">INDEX($H$41:$M$41,MATCH(BS13,$G$41,0),2)</f>
        <v>15.7</v>
      </c>
      <c r="BU13" s="282">
        <f t="shared" ref="BU13:BU22" si="45">INDEX($H$41:$M$41,MATCH(BS13,$G$41,0),4)</f>
        <v>17.2</v>
      </c>
      <c r="BV13" s="282">
        <f t="shared" ref="BV13:BV22" si="46">INDEX($H$41:$M$41,MATCH(BS13,$G$41,0),6)</f>
        <v>18.8</v>
      </c>
      <c r="BW13" s="282">
        <f t="shared" ref="BW13:BW22" si="47">IF(N13&gt;=BV13, $L$42, IF(N13&gt;=BU13, $J$42, IF(N13&gt;=BT13, $H$42, "DNQ")))</f>
        <v>100</v>
      </c>
    </row>
    <row r="14" spans="2:75" x14ac:dyDescent="0.25">
      <c r="B14" s="459"/>
      <c r="C14" s="460"/>
      <c r="D14" s="460"/>
      <c r="E14" s="460"/>
      <c r="F14" s="460"/>
      <c r="G14" s="460"/>
      <c r="H14" s="208"/>
      <c r="I14" s="208"/>
      <c r="J14" s="208"/>
      <c r="K14" s="209"/>
      <c r="L14" s="210">
        <f t="shared" ref="L14:L22" si="48">IFERROR(ROUND(K14/12000,2),"")</f>
        <v>0</v>
      </c>
      <c r="M14" s="211"/>
      <c r="N14" s="212"/>
      <c r="O14" s="327" t="str">
        <f t="shared" si="0"/>
        <v/>
      </c>
      <c r="P14" s="328" t="str">
        <f>IF(L14&gt;=20,"Contact Advisor",IFERROR(
      IF(OR(J14=$R$31,J14=$R$32), H14*L14*Y14,IF(AND(I14=$R$44,OR(J14=$R$27,J14=$R$28)),H14*L14*AY14,IF(AND(I14=$R$44,OR(J14=$R$29,J14=$R$30)),H14*L14*BE14,IF(AND(I14=$R$45,OR(J14=$R$27,J14=$R$28)),H14*L14*BK14,IF(AND(I14=$R$45,J14=$R$29),H14*L14*BQ14,IF(AND(I14=$R$45,J14=$R$30),H14*L14*BW14,
          IF(OR(J14=$R$33,J14=$R$34,J14=$R$35,J14=$R$36), H14*L14*AB14,
              IF(J14=$R$37, H14*L14*AG14,
                  IF(J14=$R$39, H14*L14*AO14,
                      IF(J14=$R$38, H14*L14*AK14,IF(J14=$R$39, H14*L14*AO14,
                          IF(AND(L14&gt;0,J14=$R$40),H14*AS14,
                          "")))))))))))), "DNQ"))</f>
        <v/>
      </c>
      <c r="R14" s="251">
        <f t="shared" si="1"/>
        <v>0</v>
      </c>
      <c r="S14" s="251" t="e">
        <f t="shared" si="2"/>
        <v>#N/A</v>
      </c>
      <c r="T14" s="251" t="e">
        <f t="shared" si="3"/>
        <v>#N/A</v>
      </c>
      <c r="U14" s="251" t="e">
        <f t="shared" si="4"/>
        <v>#N/A</v>
      </c>
      <c r="V14" s="251" t="e">
        <f t="shared" si="5"/>
        <v>#N/A</v>
      </c>
      <c r="W14" s="251" t="e">
        <f t="shared" si="6"/>
        <v>#N/A</v>
      </c>
      <c r="X14" s="251" t="e">
        <f t="shared" si="7"/>
        <v>#N/A</v>
      </c>
      <c r="Y14" s="251" t="e">
        <f t="shared" si="8"/>
        <v>#N/A</v>
      </c>
      <c r="Z14" s="8"/>
      <c r="AA14" s="251" t="str">
        <f t="shared" si="9"/>
        <v>Error</v>
      </c>
      <c r="AB14" s="251" t="str">
        <f t="shared" si="10"/>
        <v>DNQ</v>
      </c>
      <c r="AC14" s="8"/>
      <c r="AD14" s="251">
        <f t="shared" si="11"/>
        <v>0</v>
      </c>
      <c r="AE14" s="251" t="e">
        <f t="shared" si="12"/>
        <v>#N/A</v>
      </c>
      <c r="AF14" s="251" t="e">
        <f t="shared" si="13"/>
        <v>#N/A</v>
      </c>
      <c r="AG14" s="251" t="e">
        <f t="shared" si="14"/>
        <v>#N/A</v>
      </c>
      <c r="AH14" s="8"/>
      <c r="AI14" s="251">
        <f t="shared" si="15"/>
        <v>0</v>
      </c>
      <c r="AJ14" s="251" t="e">
        <f t="shared" si="16"/>
        <v>#N/A</v>
      </c>
      <c r="AK14" s="251" t="e">
        <f t="shared" si="17"/>
        <v>#N/A</v>
      </c>
      <c r="AL14" s="8"/>
      <c r="AM14" s="251" t="str">
        <f t="shared" si="18"/>
        <v>Error</v>
      </c>
      <c r="AN14" s="251" t="e">
        <f t="shared" si="19"/>
        <v>#N/A</v>
      </c>
      <c r="AO14" s="251" t="e">
        <f t="shared" si="20"/>
        <v>#N/A</v>
      </c>
      <c r="AP14" s="8"/>
      <c r="AQ14" s="329">
        <f t="array" ref="AQ14">IFERROR(INDEX($G$77:$G$79,MATCH(1,($L14&gt;=$E$77:$E$80)*($L14&lt;$G$77:$G$79),0)),"Error")</f>
        <v>0.66700000000000004</v>
      </c>
      <c r="AR14" s="329">
        <f t="shared" si="21"/>
        <v>0</v>
      </c>
      <c r="AS14" s="329" t="str">
        <f t="shared" si="22"/>
        <v>DNQ</v>
      </c>
      <c r="AT14" s="8"/>
      <c r="AU14" s="251">
        <f t="shared" si="23"/>
        <v>3.75</v>
      </c>
      <c r="AV14" s="251">
        <f t="shared" si="24"/>
        <v>15.2</v>
      </c>
      <c r="AW14" s="251">
        <f t="shared" si="25"/>
        <v>16.7</v>
      </c>
      <c r="AX14" s="251">
        <f t="shared" si="26"/>
        <v>18.2</v>
      </c>
      <c r="AY14" s="251" t="str">
        <f t="shared" si="27"/>
        <v>DNQ</v>
      </c>
      <c r="AZ14" s="8"/>
      <c r="BA14" s="251">
        <f t="shared" si="28"/>
        <v>5.4169999999999998</v>
      </c>
      <c r="BB14" s="251">
        <f t="shared" si="29"/>
        <v>15.2</v>
      </c>
      <c r="BC14" s="251">
        <f t="shared" si="30"/>
        <v>16.7</v>
      </c>
      <c r="BD14" s="251">
        <f t="shared" si="31"/>
        <v>18.2</v>
      </c>
      <c r="BE14" s="251" t="str">
        <f t="shared" si="32"/>
        <v>DNQ</v>
      </c>
      <c r="BF14" s="8"/>
      <c r="BG14" s="251">
        <f t="shared" si="33"/>
        <v>5.4169999999999998</v>
      </c>
      <c r="BH14" s="251">
        <f t="shared" si="34"/>
        <v>14.7</v>
      </c>
      <c r="BI14" s="251">
        <f t="shared" si="35"/>
        <v>16.100000000000001</v>
      </c>
      <c r="BJ14" s="251">
        <f t="shared" si="36"/>
        <v>17.600000000000001</v>
      </c>
      <c r="BK14" s="251" t="str">
        <f t="shared" si="37"/>
        <v>DNQ</v>
      </c>
      <c r="BL14" s="8"/>
      <c r="BM14" s="251">
        <f t="shared" si="38"/>
        <v>5.4169999999999998</v>
      </c>
      <c r="BN14" s="251">
        <f t="shared" si="39"/>
        <v>14.7</v>
      </c>
      <c r="BO14" s="251">
        <f t="shared" si="40"/>
        <v>16.100000000000001</v>
      </c>
      <c r="BP14" s="251">
        <f t="shared" si="41"/>
        <v>17.600000000000001</v>
      </c>
      <c r="BQ14" s="251" t="str">
        <f t="shared" si="42"/>
        <v>DNQ</v>
      </c>
      <c r="BR14" s="8"/>
      <c r="BS14" s="251">
        <f t="shared" si="43"/>
        <v>5.4169999999999998</v>
      </c>
      <c r="BT14" s="251">
        <f t="shared" si="44"/>
        <v>15.7</v>
      </c>
      <c r="BU14" s="251">
        <f t="shared" si="45"/>
        <v>17.2</v>
      </c>
      <c r="BV14" s="251">
        <f t="shared" si="46"/>
        <v>18.8</v>
      </c>
      <c r="BW14" s="251" t="str">
        <f t="shared" si="47"/>
        <v>DNQ</v>
      </c>
    </row>
    <row r="15" spans="2:75" x14ac:dyDescent="0.25">
      <c r="B15" s="459"/>
      <c r="C15" s="460"/>
      <c r="D15" s="460"/>
      <c r="E15" s="460"/>
      <c r="F15" s="460"/>
      <c r="G15" s="460"/>
      <c r="H15" s="208"/>
      <c r="I15" s="208"/>
      <c r="J15" s="208"/>
      <c r="K15" s="209"/>
      <c r="L15" s="210">
        <f t="shared" si="48"/>
        <v>0</v>
      </c>
      <c r="M15" s="211"/>
      <c r="N15" s="212"/>
      <c r="O15" s="327" t="str">
        <f t="shared" si="0"/>
        <v/>
      </c>
      <c r="P15" s="328" t="str">
        <f t="shared" ref="P15:P22" si="49">IF(L15&gt;=20,"Contact Advisor",IFERROR(
      IF(OR(J15=$R$31,J15=$R$32), H15*L15*Y15,IF(AND(I15=$R$44,OR(J15=$R$27,J15=$R$28)),H15*L15*AY15,IF(AND(I15=$R$44,OR(J15=$R$29,J15=$R$30)),H15*L15*BE15,IF(AND(I15=$R$45,OR(J15=$R$27,J15=$R$28)),H15*L15*BK15,IF(AND(I15=$R$45,J15=$R$29),H15*L15*BQ15,IF(AND(I15=$R$45,J15=$R$30),H15*L15*BW15,
          IF(OR(J15=$R$33,J15=$R$34,J15=$R$35,J15=$R$36), H15*L15*AB15,
              IF(J15=$R$37, H15*L15*AG15,
                  IF(J15=$R$39, H15*L15*AO15,
                      IF(J15=$R$38, H15*L15*AK15,IF(J15=$R$39, H15*L15*AO15,
                          IF(AND(L15&gt;0,J15=$R$40),H15*AS15,
                          "")))))))))))), "DNQ"))</f>
        <v/>
      </c>
      <c r="R15" s="251">
        <f t="shared" si="1"/>
        <v>0</v>
      </c>
      <c r="S15" s="251" t="e">
        <f t="shared" si="2"/>
        <v>#N/A</v>
      </c>
      <c r="T15" s="251" t="e">
        <f t="shared" si="3"/>
        <v>#N/A</v>
      </c>
      <c r="U15" s="251" t="e">
        <f t="shared" si="4"/>
        <v>#N/A</v>
      </c>
      <c r="V15" s="251" t="e">
        <f t="shared" si="5"/>
        <v>#N/A</v>
      </c>
      <c r="W15" s="251" t="e">
        <f t="shared" si="6"/>
        <v>#N/A</v>
      </c>
      <c r="X15" s="251" t="e">
        <f t="shared" si="7"/>
        <v>#N/A</v>
      </c>
      <c r="Y15" s="251" t="e">
        <f t="shared" si="8"/>
        <v>#N/A</v>
      </c>
      <c r="Z15" s="8"/>
      <c r="AA15" s="251" t="str">
        <f t="shared" si="9"/>
        <v>Error</v>
      </c>
      <c r="AB15" s="251" t="str">
        <f t="shared" si="10"/>
        <v>DNQ</v>
      </c>
      <c r="AC15" s="8"/>
      <c r="AD15" s="251">
        <f t="shared" si="11"/>
        <v>0</v>
      </c>
      <c r="AE15" s="251" t="e">
        <f t="shared" si="12"/>
        <v>#N/A</v>
      </c>
      <c r="AF15" s="251" t="e">
        <f t="shared" si="13"/>
        <v>#N/A</v>
      </c>
      <c r="AG15" s="251" t="e">
        <f t="shared" si="14"/>
        <v>#N/A</v>
      </c>
      <c r="AH15" s="8"/>
      <c r="AI15" s="251">
        <f t="shared" si="15"/>
        <v>0</v>
      </c>
      <c r="AJ15" s="251" t="e">
        <f t="shared" si="16"/>
        <v>#N/A</v>
      </c>
      <c r="AK15" s="251" t="e">
        <f t="shared" si="17"/>
        <v>#N/A</v>
      </c>
      <c r="AL15" s="8"/>
      <c r="AM15" s="251" t="str">
        <f t="shared" si="18"/>
        <v>Error</v>
      </c>
      <c r="AN15" s="251" t="e">
        <f t="shared" si="19"/>
        <v>#N/A</v>
      </c>
      <c r="AO15" s="251" t="e">
        <f t="shared" si="20"/>
        <v>#N/A</v>
      </c>
      <c r="AP15" s="8"/>
      <c r="AQ15" s="329">
        <f t="array" ref="AQ15">IFERROR(INDEX($G$77:$G$79,MATCH(1,($L15&gt;=$E$77:$E$80)*($L15&lt;$G$77:$G$79),0)),"Error")</f>
        <v>0.66700000000000004</v>
      </c>
      <c r="AR15" s="329">
        <f t="shared" si="21"/>
        <v>0</v>
      </c>
      <c r="AS15" s="329" t="str">
        <f t="shared" si="22"/>
        <v>DNQ</v>
      </c>
      <c r="AT15" s="8"/>
      <c r="AU15" s="251">
        <f t="shared" si="23"/>
        <v>3.75</v>
      </c>
      <c r="AV15" s="251">
        <f t="shared" si="24"/>
        <v>15.2</v>
      </c>
      <c r="AW15" s="251">
        <f t="shared" si="25"/>
        <v>16.7</v>
      </c>
      <c r="AX15" s="251">
        <f t="shared" si="26"/>
        <v>18.2</v>
      </c>
      <c r="AY15" s="251" t="str">
        <f t="shared" si="27"/>
        <v>DNQ</v>
      </c>
      <c r="AZ15" s="8"/>
      <c r="BA15" s="251">
        <f t="shared" si="28"/>
        <v>5.4169999999999998</v>
      </c>
      <c r="BB15" s="251">
        <f t="shared" si="29"/>
        <v>15.2</v>
      </c>
      <c r="BC15" s="251">
        <f t="shared" si="30"/>
        <v>16.7</v>
      </c>
      <c r="BD15" s="251">
        <f t="shared" si="31"/>
        <v>18.2</v>
      </c>
      <c r="BE15" s="251" t="str">
        <f t="shared" si="32"/>
        <v>DNQ</v>
      </c>
      <c r="BF15" s="8"/>
      <c r="BG15" s="251">
        <f t="shared" si="33"/>
        <v>5.4169999999999998</v>
      </c>
      <c r="BH15" s="251">
        <f t="shared" si="34"/>
        <v>14.7</v>
      </c>
      <c r="BI15" s="251">
        <f t="shared" si="35"/>
        <v>16.100000000000001</v>
      </c>
      <c r="BJ15" s="251">
        <f t="shared" si="36"/>
        <v>17.600000000000001</v>
      </c>
      <c r="BK15" s="251" t="str">
        <f t="shared" si="37"/>
        <v>DNQ</v>
      </c>
      <c r="BL15" s="8"/>
      <c r="BM15" s="251">
        <f t="shared" si="38"/>
        <v>5.4169999999999998</v>
      </c>
      <c r="BN15" s="251">
        <f t="shared" si="39"/>
        <v>14.7</v>
      </c>
      <c r="BO15" s="251">
        <f t="shared" si="40"/>
        <v>16.100000000000001</v>
      </c>
      <c r="BP15" s="251">
        <f t="shared" si="41"/>
        <v>17.600000000000001</v>
      </c>
      <c r="BQ15" s="251" t="str">
        <f t="shared" si="42"/>
        <v>DNQ</v>
      </c>
      <c r="BR15" s="8"/>
      <c r="BS15" s="251">
        <f t="shared" si="43"/>
        <v>5.4169999999999998</v>
      </c>
      <c r="BT15" s="251">
        <f t="shared" si="44"/>
        <v>15.7</v>
      </c>
      <c r="BU15" s="251">
        <f t="shared" si="45"/>
        <v>17.2</v>
      </c>
      <c r="BV15" s="251">
        <f t="shared" si="46"/>
        <v>18.8</v>
      </c>
      <c r="BW15" s="251" t="str">
        <f t="shared" si="47"/>
        <v>DNQ</v>
      </c>
    </row>
    <row r="16" spans="2:75" x14ac:dyDescent="0.25">
      <c r="B16" s="459"/>
      <c r="C16" s="460"/>
      <c r="D16" s="460"/>
      <c r="E16" s="460"/>
      <c r="F16" s="460"/>
      <c r="G16" s="460"/>
      <c r="H16" s="208"/>
      <c r="I16" s="208"/>
      <c r="J16" s="208"/>
      <c r="K16" s="209"/>
      <c r="L16" s="210">
        <f t="shared" si="48"/>
        <v>0</v>
      </c>
      <c r="M16" s="211"/>
      <c r="N16" s="212"/>
      <c r="O16" s="327" t="str">
        <f t="shared" si="0"/>
        <v/>
      </c>
      <c r="P16" s="328" t="str">
        <f t="shared" si="49"/>
        <v/>
      </c>
      <c r="R16" s="251">
        <f t="shared" si="1"/>
        <v>0</v>
      </c>
      <c r="S16" s="251" t="e">
        <f t="shared" si="2"/>
        <v>#N/A</v>
      </c>
      <c r="T16" s="251" t="e">
        <f t="shared" si="3"/>
        <v>#N/A</v>
      </c>
      <c r="U16" s="251" t="e">
        <f t="shared" si="4"/>
        <v>#N/A</v>
      </c>
      <c r="V16" s="251" t="e">
        <f t="shared" si="5"/>
        <v>#N/A</v>
      </c>
      <c r="W16" s="251" t="e">
        <f t="shared" si="6"/>
        <v>#N/A</v>
      </c>
      <c r="X16" s="251" t="e">
        <f t="shared" si="7"/>
        <v>#N/A</v>
      </c>
      <c r="Y16" s="251" t="e">
        <f t="shared" si="8"/>
        <v>#N/A</v>
      </c>
      <c r="Z16" s="8"/>
      <c r="AA16" s="251" t="str">
        <f t="shared" si="9"/>
        <v>Error</v>
      </c>
      <c r="AB16" s="251" t="str">
        <f t="shared" si="10"/>
        <v>DNQ</v>
      </c>
      <c r="AC16" s="8"/>
      <c r="AD16" s="251">
        <f t="shared" si="11"/>
        <v>0</v>
      </c>
      <c r="AE16" s="251" t="e">
        <f t="shared" si="12"/>
        <v>#N/A</v>
      </c>
      <c r="AF16" s="251" t="e">
        <f t="shared" si="13"/>
        <v>#N/A</v>
      </c>
      <c r="AG16" s="251" t="e">
        <f t="shared" si="14"/>
        <v>#N/A</v>
      </c>
      <c r="AH16" s="8"/>
      <c r="AI16" s="251">
        <f t="shared" si="15"/>
        <v>0</v>
      </c>
      <c r="AJ16" s="251" t="e">
        <f t="shared" si="16"/>
        <v>#N/A</v>
      </c>
      <c r="AK16" s="251" t="e">
        <f t="shared" si="17"/>
        <v>#N/A</v>
      </c>
      <c r="AL16" s="8"/>
      <c r="AM16" s="251" t="str">
        <f t="shared" si="18"/>
        <v>Error</v>
      </c>
      <c r="AN16" s="251" t="e">
        <f t="shared" si="19"/>
        <v>#N/A</v>
      </c>
      <c r="AO16" s="251" t="e">
        <f t="shared" si="20"/>
        <v>#N/A</v>
      </c>
      <c r="AP16" s="8"/>
      <c r="AQ16" s="329">
        <f t="array" ref="AQ16">IFERROR(INDEX($G$77:$G$79,MATCH(1,($L16&gt;=$E$77:$E$80)*($L16&lt;$G$77:$G$79),0)),"Error")</f>
        <v>0.66700000000000004</v>
      </c>
      <c r="AR16" s="329">
        <f t="shared" si="21"/>
        <v>0</v>
      </c>
      <c r="AS16" s="329" t="str">
        <f t="shared" si="22"/>
        <v>DNQ</v>
      </c>
      <c r="AT16" s="8"/>
      <c r="AU16" s="251">
        <f t="shared" si="23"/>
        <v>3.75</v>
      </c>
      <c r="AV16" s="251">
        <f t="shared" si="24"/>
        <v>15.2</v>
      </c>
      <c r="AW16" s="251">
        <f t="shared" si="25"/>
        <v>16.7</v>
      </c>
      <c r="AX16" s="251">
        <f t="shared" si="26"/>
        <v>18.2</v>
      </c>
      <c r="AY16" s="251" t="str">
        <f t="shared" si="27"/>
        <v>DNQ</v>
      </c>
      <c r="AZ16" s="8"/>
      <c r="BA16" s="251">
        <f t="shared" si="28"/>
        <v>5.4169999999999998</v>
      </c>
      <c r="BB16" s="251">
        <f t="shared" si="29"/>
        <v>15.2</v>
      </c>
      <c r="BC16" s="251">
        <f t="shared" si="30"/>
        <v>16.7</v>
      </c>
      <c r="BD16" s="251">
        <f t="shared" si="31"/>
        <v>18.2</v>
      </c>
      <c r="BE16" s="251" t="str">
        <f t="shared" si="32"/>
        <v>DNQ</v>
      </c>
      <c r="BF16" s="8"/>
      <c r="BG16" s="251">
        <f t="shared" si="33"/>
        <v>5.4169999999999998</v>
      </c>
      <c r="BH16" s="251">
        <f t="shared" si="34"/>
        <v>14.7</v>
      </c>
      <c r="BI16" s="251">
        <f t="shared" si="35"/>
        <v>16.100000000000001</v>
      </c>
      <c r="BJ16" s="251">
        <f t="shared" si="36"/>
        <v>17.600000000000001</v>
      </c>
      <c r="BK16" s="251" t="str">
        <f t="shared" si="37"/>
        <v>DNQ</v>
      </c>
      <c r="BL16" s="8"/>
      <c r="BM16" s="251">
        <f t="shared" si="38"/>
        <v>5.4169999999999998</v>
      </c>
      <c r="BN16" s="251">
        <f t="shared" si="39"/>
        <v>14.7</v>
      </c>
      <c r="BO16" s="251">
        <f t="shared" si="40"/>
        <v>16.100000000000001</v>
      </c>
      <c r="BP16" s="251">
        <f t="shared" si="41"/>
        <v>17.600000000000001</v>
      </c>
      <c r="BQ16" s="251" t="str">
        <f t="shared" si="42"/>
        <v>DNQ</v>
      </c>
      <c r="BR16" s="8"/>
      <c r="BS16" s="251">
        <f t="shared" si="43"/>
        <v>5.4169999999999998</v>
      </c>
      <c r="BT16" s="251">
        <f t="shared" si="44"/>
        <v>15.7</v>
      </c>
      <c r="BU16" s="251">
        <f t="shared" si="45"/>
        <v>17.2</v>
      </c>
      <c r="BV16" s="251">
        <f t="shared" si="46"/>
        <v>18.8</v>
      </c>
      <c r="BW16" s="251" t="str">
        <f t="shared" si="47"/>
        <v>DNQ</v>
      </c>
    </row>
    <row r="17" spans="2:75" x14ac:dyDescent="0.25">
      <c r="B17" s="459"/>
      <c r="C17" s="460"/>
      <c r="D17" s="460"/>
      <c r="E17" s="460"/>
      <c r="F17" s="460"/>
      <c r="G17" s="460"/>
      <c r="H17" s="208"/>
      <c r="I17" s="208"/>
      <c r="J17" s="208"/>
      <c r="K17" s="209"/>
      <c r="L17" s="210">
        <f t="shared" si="48"/>
        <v>0</v>
      </c>
      <c r="M17" s="211"/>
      <c r="N17" s="212"/>
      <c r="O17" s="327" t="str">
        <f t="shared" si="0"/>
        <v/>
      </c>
      <c r="P17" s="328" t="str">
        <f t="shared" si="49"/>
        <v/>
      </c>
      <c r="R17" s="251">
        <f t="shared" si="1"/>
        <v>0</v>
      </c>
      <c r="S17" s="251" t="e">
        <f t="shared" si="2"/>
        <v>#N/A</v>
      </c>
      <c r="T17" s="251" t="e">
        <f t="shared" si="3"/>
        <v>#N/A</v>
      </c>
      <c r="U17" s="251" t="e">
        <f t="shared" si="4"/>
        <v>#N/A</v>
      </c>
      <c r="V17" s="251" t="e">
        <f t="shared" si="5"/>
        <v>#N/A</v>
      </c>
      <c r="W17" s="251" t="e">
        <f t="shared" si="6"/>
        <v>#N/A</v>
      </c>
      <c r="X17" s="251" t="e">
        <f t="shared" si="7"/>
        <v>#N/A</v>
      </c>
      <c r="Y17" s="251" t="e">
        <f t="shared" si="8"/>
        <v>#N/A</v>
      </c>
      <c r="Z17" s="8"/>
      <c r="AA17" s="251" t="str">
        <f t="shared" si="9"/>
        <v>Error</v>
      </c>
      <c r="AB17" s="251" t="str">
        <f t="shared" si="10"/>
        <v>DNQ</v>
      </c>
      <c r="AC17" s="8"/>
      <c r="AD17" s="251">
        <f t="shared" si="11"/>
        <v>0</v>
      </c>
      <c r="AE17" s="251" t="e">
        <f t="shared" si="12"/>
        <v>#N/A</v>
      </c>
      <c r="AF17" s="251" t="e">
        <f t="shared" si="13"/>
        <v>#N/A</v>
      </c>
      <c r="AG17" s="251" t="e">
        <f t="shared" si="14"/>
        <v>#N/A</v>
      </c>
      <c r="AH17" s="8"/>
      <c r="AI17" s="251">
        <f t="shared" si="15"/>
        <v>0</v>
      </c>
      <c r="AJ17" s="251" t="e">
        <f t="shared" si="16"/>
        <v>#N/A</v>
      </c>
      <c r="AK17" s="251" t="e">
        <f t="shared" si="17"/>
        <v>#N/A</v>
      </c>
      <c r="AL17" s="8"/>
      <c r="AM17" s="251" t="str">
        <f t="shared" si="18"/>
        <v>Error</v>
      </c>
      <c r="AN17" s="251" t="e">
        <f t="shared" si="19"/>
        <v>#N/A</v>
      </c>
      <c r="AO17" s="251" t="e">
        <f t="shared" si="20"/>
        <v>#N/A</v>
      </c>
      <c r="AP17" s="8"/>
      <c r="AQ17" s="329">
        <f t="array" ref="AQ17">IFERROR(INDEX($G$77:$G$79,MATCH(1,($L17&gt;=$E$77:$E$80)*($L17&lt;$G$77:$G$79),0)),"Error")</f>
        <v>0.66700000000000004</v>
      </c>
      <c r="AR17" s="329">
        <f t="shared" si="21"/>
        <v>0</v>
      </c>
      <c r="AS17" s="329" t="str">
        <f t="shared" si="22"/>
        <v>DNQ</v>
      </c>
      <c r="AT17" s="8"/>
      <c r="AU17" s="251">
        <f t="shared" si="23"/>
        <v>3.75</v>
      </c>
      <c r="AV17" s="251">
        <f t="shared" si="24"/>
        <v>15.2</v>
      </c>
      <c r="AW17" s="251">
        <f t="shared" si="25"/>
        <v>16.7</v>
      </c>
      <c r="AX17" s="251">
        <f t="shared" si="26"/>
        <v>18.2</v>
      </c>
      <c r="AY17" s="251" t="str">
        <f t="shared" si="27"/>
        <v>DNQ</v>
      </c>
      <c r="AZ17" s="8"/>
      <c r="BA17" s="251">
        <f t="shared" si="28"/>
        <v>5.4169999999999998</v>
      </c>
      <c r="BB17" s="251">
        <f t="shared" si="29"/>
        <v>15.2</v>
      </c>
      <c r="BC17" s="251">
        <f t="shared" si="30"/>
        <v>16.7</v>
      </c>
      <c r="BD17" s="251">
        <f t="shared" si="31"/>
        <v>18.2</v>
      </c>
      <c r="BE17" s="251" t="str">
        <f t="shared" si="32"/>
        <v>DNQ</v>
      </c>
      <c r="BF17" s="8"/>
      <c r="BG17" s="251">
        <f t="shared" si="33"/>
        <v>5.4169999999999998</v>
      </c>
      <c r="BH17" s="251">
        <f t="shared" si="34"/>
        <v>14.7</v>
      </c>
      <c r="BI17" s="251">
        <f t="shared" si="35"/>
        <v>16.100000000000001</v>
      </c>
      <c r="BJ17" s="251">
        <f t="shared" si="36"/>
        <v>17.600000000000001</v>
      </c>
      <c r="BK17" s="251" t="str">
        <f t="shared" si="37"/>
        <v>DNQ</v>
      </c>
      <c r="BL17" s="8"/>
      <c r="BM17" s="251">
        <f t="shared" si="38"/>
        <v>5.4169999999999998</v>
      </c>
      <c r="BN17" s="251">
        <f t="shared" si="39"/>
        <v>14.7</v>
      </c>
      <c r="BO17" s="251">
        <f t="shared" si="40"/>
        <v>16.100000000000001</v>
      </c>
      <c r="BP17" s="251">
        <f t="shared" si="41"/>
        <v>17.600000000000001</v>
      </c>
      <c r="BQ17" s="251" t="str">
        <f t="shared" si="42"/>
        <v>DNQ</v>
      </c>
      <c r="BR17" s="8"/>
      <c r="BS17" s="251">
        <f t="shared" si="43"/>
        <v>5.4169999999999998</v>
      </c>
      <c r="BT17" s="251">
        <f t="shared" si="44"/>
        <v>15.7</v>
      </c>
      <c r="BU17" s="251">
        <f t="shared" si="45"/>
        <v>17.2</v>
      </c>
      <c r="BV17" s="251">
        <f t="shared" si="46"/>
        <v>18.8</v>
      </c>
      <c r="BW17" s="251" t="str">
        <f t="shared" si="47"/>
        <v>DNQ</v>
      </c>
    </row>
    <row r="18" spans="2:75" x14ac:dyDescent="0.25">
      <c r="B18" s="459"/>
      <c r="C18" s="460"/>
      <c r="D18" s="460"/>
      <c r="E18" s="460"/>
      <c r="F18" s="460"/>
      <c r="G18" s="460"/>
      <c r="H18" s="208"/>
      <c r="I18" s="208"/>
      <c r="J18" s="208"/>
      <c r="K18" s="209"/>
      <c r="L18" s="210">
        <f t="shared" si="48"/>
        <v>0</v>
      </c>
      <c r="M18" s="211"/>
      <c r="N18" s="212"/>
      <c r="O18" s="327" t="str">
        <f t="shared" si="0"/>
        <v/>
      </c>
      <c r="P18" s="328" t="str">
        <f t="shared" si="49"/>
        <v/>
      </c>
      <c r="R18" s="251">
        <f t="shared" si="1"/>
        <v>0</v>
      </c>
      <c r="S18" s="251" t="e">
        <f t="shared" si="2"/>
        <v>#N/A</v>
      </c>
      <c r="T18" s="251" t="e">
        <f t="shared" si="3"/>
        <v>#N/A</v>
      </c>
      <c r="U18" s="251" t="e">
        <f t="shared" si="4"/>
        <v>#N/A</v>
      </c>
      <c r="V18" s="251" t="e">
        <f t="shared" si="5"/>
        <v>#N/A</v>
      </c>
      <c r="W18" s="251" t="e">
        <f t="shared" si="6"/>
        <v>#N/A</v>
      </c>
      <c r="X18" s="251" t="e">
        <f t="shared" si="7"/>
        <v>#N/A</v>
      </c>
      <c r="Y18" s="251" t="e">
        <f t="shared" si="8"/>
        <v>#N/A</v>
      </c>
      <c r="Z18" s="8"/>
      <c r="AA18" s="251" t="str">
        <f t="shared" si="9"/>
        <v>Error</v>
      </c>
      <c r="AB18" s="251" t="str">
        <f t="shared" si="10"/>
        <v>DNQ</v>
      </c>
      <c r="AC18" s="8"/>
      <c r="AD18" s="251">
        <f t="shared" si="11"/>
        <v>0</v>
      </c>
      <c r="AE18" s="251" t="e">
        <f t="shared" si="12"/>
        <v>#N/A</v>
      </c>
      <c r="AF18" s="251" t="e">
        <f t="shared" si="13"/>
        <v>#N/A</v>
      </c>
      <c r="AG18" s="251" t="e">
        <f t="shared" si="14"/>
        <v>#N/A</v>
      </c>
      <c r="AH18" s="8"/>
      <c r="AI18" s="251">
        <f t="shared" si="15"/>
        <v>0</v>
      </c>
      <c r="AJ18" s="251" t="e">
        <f t="shared" si="16"/>
        <v>#N/A</v>
      </c>
      <c r="AK18" s="251" t="e">
        <f t="shared" si="17"/>
        <v>#N/A</v>
      </c>
      <c r="AL18" s="8"/>
      <c r="AM18" s="251" t="str">
        <f t="shared" si="18"/>
        <v>Error</v>
      </c>
      <c r="AN18" s="251" t="e">
        <f t="shared" si="19"/>
        <v>#N/A</v>
      </c>
      <c r="AO18" s="251" t="e">
        <f t="shared" si="20"/>
        <v>#N/A</v>
      </c>
      <c r="AP18" s="8"/>
      <c r="AQ18" s="329">
        <f t="array" ref="AQ18">IFERROR(INDEX($G$77:$G$79,MATCH(1,($L18&gt;=$E$77:$E$80)*($L18&lt;$G$77:$G$79),0)),"Error")</f>
        <v>0.66700000000000004</v>
      </c>
      <c r="AR18" s="329">
        <f t="shared" si="21"/>
        <v>0</v>
      </c>
      <c r="AS18" s="329" t="str">
        <f t="shared" si="22"/>
        <v>DNQ</v>
      </c>
      <c r="AT18" s="8"/>
      <c r="AU18" s="251">
        <f t="shared" si="23"/>
        <v>3.75</v>
      </c>
      <c r="AV18" s="251">
        <f t="shared" si="24"/>
        <v>15.2</v>
      </c>
      <c r="AW18" s="251">
        <f t="shared" si="25"/>
        <v>16.7</v>
      </c>
      <c r="AX18" s="251">
        <f t="shared" si="26"/>
        <v>18.2</v>
      </c>
      <c r="AY18" s="251" t="str">
        <f t="shared" si="27"/>
        <v>DNQ</v>
      </c>
      <c r="AZ18" s="8"/>
      <c r="BA18" s="251">
        <f t="shared" si="28"/>
        <v>5.4169999999999998</v>
      </c>
      <c r="BB18" s="251">
        <f t="shared" si="29"/>
        <v>15.2</v>
      </c>
      <c r="BC18" s="251">
        <f t="shared" si="30"/>
        <v>16.7</v>
      </c>
      <c r="BD18" s="251">
        <f t="shared" si="31"/>
        <v>18.2</v>
      </c>
      <c r="BE18" s="251" t="str">
        <f t="shared" si="32"/>
        <v>DNQ</v>
      </c>
      <c r="BF18" s="8"/>
      <c r="BG18" s="251">
        <f t="shared" si="33"/>
        <v>5.4169999999999998</v>
      </c>
      <c r="BH18" s="251">
        <f t="shared" si="34"/>
        <v>14.7</v>
      </c>
      <c r="BI18" s="251">
        <f t="shared" si="35"/>
        <v>16.100000000000001</v>
      </c>
      <c r="BJ18" s="251">
        <f t="shared" si="36"/>
        <v>17.600000000000001</v>
      </c>
      <c r="BK18" s="251" t="str">
        <f t="shared" si="37"/>
        <v>DNQ</v>
      </c>
      <c r="BL18" s="8"/>
      <c r="BM18" s="251">
        <f t="shared" si="38"/>
        <v>5.4169999999999998</v>
      </c>
      <c r="BN18" s="251">
        <f t="shared" si="39"/>
        <v>14.7</v>
      </c>
      <c r="BO18" s="251">
        <f t="shared" si="40"/>
        <v>16.100000000000001</v>
      </c>
      <c r="BP18" s="251">
        <f t="shared" si="41"/>
        <v>17.600000000000001</v>
      </c>
      <c r="BQ18" s="251" t="str">
        <f t="shared" si="42"/>
        <v>DNQ</v>
      </c>
      <c r="BR18" s="8"/>
      <c r="BS18" s="251">
        <f t="shared" si="43"/>
        <v>5.4169999999999998</v>
      </c>
      <c r="BT18" s="251">
        <f t="shared" si="44"/>
        <v>15.7</v>
      </c>
      <c r="BU18" s="251">
        <f t="shared" si="45"/>
        <v>17.2</v>
      </c>
      <c r="BV18" s="251">
        <f t="shared" si="46"/>
        <v>18.8</v>
      </c>
      <c r="BW18" s="251" t="str">
        <f t="shared" si="47"/>
        <v>DNQ</v>
      </c>
    </row>
    <row r="19" spans="2:75" x14ac:dyDescent="0.25">
      <c r="B19" s="459"/>
      <c r="C19" s="460"/>
      <c r="D19" s="460"/>
      <c r="E19" s="460"/>
      <c r="F19" s="460"/>
      <c r="G19" s="460"/>
      <c r="H19" s="208"/>
      <c r="I19" s="208"/>
      <c r="J19" s="208"/>
      <c r="K19" s="209"/>
      <c r="L19" s="210">
        <f t="shared" si="48"/>
        <v>0</v>
      </c>
      <c r="M19" s="211"/>
      <c r="N19" s="212"/>
      <c r="O19" s="327" t="str">
        <f t="shared" si="0"/>
        <v/>
      </c>
      <c r="P19" s="328" t="str">
        <f t="shared" si="49"/>
        <v/>
      </c>
      <c r="R19" s="251">
        <f t="shared" si="1"/>
        <v>0</v>
      </c>
      <c r="S19" s="251" t="e">
        <f t="shared" si="2"/>
        <v>#N/A</v>
      </c>
      <c r="T19" s="251" t="e">
        <f t="shared" si="3"/>
        <v>#N/A</v>
      </c>
      <c r="U19" s="251" t="e">
        <f t="shared" si="4"/>
        <v>#N/A</v>
      </c>
      <c r="V19" s="251" t="e">
        <f t="shared" si="5"/>
        <v>#N/A</v>
      </c>
      <c r="W19" s="251" t="e">
        <f t="shared" si="6"/>
        <v>#N/A</v>
      </c>
      <c r="X19" s="251" t="e">
        <f t="shared" si="7"/>
        <v>#N/A</v>
      </c>
      <c r="Y19" s="251" t="e">
        <f t="shared" si="8"/>
        <v>#N/A</v>
      </c>
      <c r="Z19" s="8"/>
      <c r="AA19" s="251" t="str">
        <f t="shared" si="9"/>
        <v>Error</v>
      </c>
      <c r="AB19" s="251" t="str">
        <f t="shared" si="10"/>
        <v>DNQ</v>
      </c>
      <c r="AC19" s="8"/>
      <c r="AD19" s="251">
        <f t="shared" si="11"/>
        <v>0</v>
      </c>
      <c r="AE19" s="251" t="e">
        <f t="shared" si="12"/>
        <v>#N/A</v>
      </c>
      <c r="AF19" s="251" t="e">
        <f t="shared" si="13"/>
        <v>#N/A</v>
      </c>
      <c r="AG19" s="251" t="e">
        <f t="shared" si="14"/>
        <v>#N/A</v>
      </c>
      <c r="AH19" s="8"/>
      <c r="AI19" s="251">
        <f t="shared" si="15"/>
        <v>0</v>
      </c>
      <c r="AJ19" s="251" t="e">
        <f t="shared" si="16"/>
        <v>#N/A</v>
      </c>
      <c r="AK19" s="251" t="e">
        <f t="shared" si="17"/>
        <v>#N/A</v>
      </c>
      <c r="AL19" s="8"/>
      <c r="AM19" s="251" t="str">
        <f t="shared" si="18"/>
        <v>Error</v>
      </c>
      <c r="AN19" s="251" t="e">
        <f t="shared" si="19"/>
        <v>#N/A</v>
      </c>
      <c r="AO19" s="251" t="e">
        <f t="shared" si="20"/>
        <v>#N/A</v>
      </c>
      <c r="AP19" s="8"/>
      <c r="AQ19" s="329">
        <f t="array" ref="AQ19">IFERROR(INDEX($G$77:$G$79,MATCH(1,($L19&gt;=$E$77:$E$80)*($L19&lt;$G$77:$G$79),0)),"Error")</f>
        <v>0.66700000000000004</v>
      </c>
      <c r="AR19" s="329">
        <f t="shared" si="21"/>
        <v>0</v>
      </c>
      <c r="AS19" s="329" t="str">
        <f t="shared" si="22"/>
        <v>DNQ</v>
      </c>
      <c r="AT19" s="8"/>
      <c r="AU19" s="251">
        <f t="shared" si="23"/>
        <v>3.75</v>
      </c>
      <c r="AV19" s="251">
        <f t="shared" si="24"/>
        <v>15.2</v>
      </c>
      <c r="AW19" s="251">
        <f t="shared" si="25"/>
        <v>16.7</v>
      </c>
      <c r="AX19" s="251">
        <f t="shared" si="26"/>
        <v>18.2</v>
      </c>
      <c r="AY19" s="251" t="str">
        <f t="shared" si="27"/>
        <v>DNQ</v>
      </c>
      <c r="AZ19" s="8"/>
      <c r="BA19" s="251">
        <f t="shared" si="28"/>
        <v>5.4169999999999998</v>
      </c>
      <c r="BB19" s="251">
        <f t="shared" si="29"/>
        <v>15.2</v>
      </c>
      <c r="BC19" s="251">
        <f t="shared" si="30"/>
        <v>16.7</v>
      </c>
      <c r="BD19" s="251">
        <f t="shared" si="31"/>
        <v>18.2</v>
      </c>
      <c r="BE19" s="251" t="str">
        <f t="shared" si="32"/>
        <v>DNQ</v>
      </c>
      <c r="BF19" s="8"/>
      <c r="BG19" s="251">
        <f t="shared" si="33"/>
        <v>5.4169999999999998</v>
      </c>
      <c r="BH19" s="251">
        <f t="shared" si="34"/>
        <v>14.7</v>
      </c>
      <c r="BI19" s="251">
        <f t="shared" si="35"/>
        <v>16.100000000000001</v>
      </c>
      <c r="BJ19" s="251">
        <f t="shared" si="36"/>
        <v>17.600000000000001</v>
      </c>
      <c r="BK19" s="251" t="str">
        <f t="shared" si="37"/>
        <v>DNQ</v>
      </c>
      <c r="BL19" s="8"/>
      <c r="BM19" s="251">
        <f t="shared" si="38"/>
        <v>5.4169999999999998</v>
      </c>
      <c r="BN19" s="251">
        <f t="shared" si="39"/>
        <v>14.7</v>
      </c>
      <c r="BO19" s="251">
        <f t="shared" si="40"/>
        <v>16.100000000000001</v>
      </c>
      <c r="BP19" s="251">
        <f t="shared" si="41"/>
        <v>17.600000000000001</v>
      </c>
      <c r="BQ19" s="251" t="str">
        <f t="shared" si="42"/>
        <v>DNQ</v>
      </c>
      <c r="BR19" s="8"/>
      <c r="BS19" s="251">
        <f t="shared" si="43"/>
        <v>5.4169999999999998</v>
      </c>
      <c r="BT19" s="251">
        <f t="shared" si="44"/>
        <v>15.7</v>
      </c>
      <c r="BU19" s="251">
        <f t="shared" si="45"/>
        <v>17.2</v>
      </c>
      <c r="BV19" s="251">
        <f t="shared" si="46"/>
        <v>18.8</v>
      </c>
      <c r="BW19" s="251" t="str">
        <f t="shared" si="47"/>
        <v>DNQ</v>
      </c>
    </row>
    <row r="20" spans="2:75" x14ac:dyDescent="0.25">
      <c r="B20" s="459"/>
      <c r="C20" s="460"/>
      <c r="D20" s="460"/>
      <c r="E20" s="460"/>
      <c r="F20" s="460"/>
      <c r="G20" s="460"/>
      <c r="H20" s="208"/>
      <c r="I20" s="208"/>
      <c r="J20" s="208"/>
      <c r="K20" s="209"/>
      <c r="L20" s="210">
        <f t="shared" si="48"/>
        <v>0</v>
      </c>
      <c r="M20" s="211"/>
      <c r="N20" s="212"/>
      <c r="O20" s="327" t="str">
        <f t="shared" si="0"/>
        <v/>
      </c>
      <c r="P20" s="328" t="str">
        <f t="shared" si="49"/>
        <v/>
      </c>
      <c r="R20" s="251">
        <f t="shared" si="1"/>
        <v>0</v>
      </c>
      <c r="S20" s="251" t="e">
        <f t="shared" si="2"/>
        <v>#N/A</v>
      </c>
      <c r="T20" s="251" t="e">
        <f t="shared" si="3"/>
        <v>#N/A</v>
      </c>
      <c r="U20" s="251" t="e">
        <f t="shared" si="4"/>
        <v>#N/A</v>
      </c>
      <c r="V20" s="251" t="e">
        <f t="shared" si="5"/>
        <v>#N/A</v>
      </c>
      <c r="W20" s="251" t="e">
        <f t="shared" si="6"/>
        <v>#N/A</v>
      </c>
      <c r="X20" s="251" t="e">
        <f t="shared" si="7"/>
        <v>#N/A</v>
      </c>
      <c r="Y20" s="251" t="e">
        <f t="shared" si="8"/>
        <v>#N/A</v>
      </c>
      <c r="Z20" s="8"/>
      <c r="AA20" s="251" t="str">
        <f t="shared" si="9"/>
        <v>Error</v>
      </c>
      <c r="AB20" s="251" t="str">
        <f t="shared" si="10"/>
        <v>DNQ</v>
      </c>
      <c r="AC20" s="8"/>
      <c r="AD20" s="251">
        <f t="shared" si="11"/>
        <v>0</v>
      </c>
      <c r="AE20" s="251" t="e">
        <f t="shared" si="12"/>
        <v>#N/A</v>
      </c>
      <c r="AF20" s="251" t="e">
        <f t="shared" si="13"/>
        <v>#N/A</v>
      </c>
      <c r="AG20" s="251" t="e">
        <f t="shared" si="14"/>
        <v>#N/A</v>
      </c>
      <c r="AH20" s="8"/>
      <c r="AI20" s="251">
        <f t="shared" si="15"/>
        <v>0</v>
      </c>
      <c r="AJ20" s="251" t="e">
        <f t="shared" si="16"/>
        <v>#N/A</v>
      </c>
      <c r="AK20" s="251" t="e">
        <f t="shared" si="17"/>
        <v>#N/A</v>
      </c>
      <c r="AL20" s="8"/>
      <c r="AM20" s="251" t="str">
        <f t="shared" si="18"/>
        <v>Error</v>
      </c>
      <c r="AN20" s="251" t="e">
        <f t="shared" si="19"/>
        <v>#N/A</v>
      </c>
      <c r="AO20" s="251" t="e">
        <f t="shared" si="20"/>
        <v>#N/A</v>
      </c>
      <c r="AP20" s="8"/>
      <c r="AQ20" s="329">
        <f t="array" ref="AQ20">IFERROR(INDEX($G$77:$G$79,MATCH(1,($L20&gt;=$E$77:$E$80)*($L20&lt;$G$77:$G$79),0)),"Error")</f>
        <v>0.66700000000000004</v>
      </c>
      <c r="AR20" s="329">
        <f t="shared" si="21"/>
        <v>0</v>
      </c>
      <c r="AS20" s="329" t="str">
        <f t="shared" si="22"/>
        <v>DNQ</v>
      </c>
      <c r="AT20" s="8"/>
      <c r="AU20" s="251">
        <f t="shared" si="23"/>
        <v>3.75</v>
      </c>
      <c r="AV20" s="251">
        <f t="shared" si="24"/>
        <v>15.2</v>
      </c>
      <c r="AW20" s="251">
        <f t="shared" si="25"/>
        <v>16.7</v>
      </c>
      <c r="AX20" s="251">
        <f t="shared" si="26"/>
        <v>18.2</v>
      </c>
      <c r="AY20" s="251" t="str">
        <f t="shared" si="27"/>
        <v>DNQ</v>
      </c>
      <c r="AZ20" s="8"/>
      <c r="BA20" s="251">
        <f t="shared" si="28"/>
        <v>5.4169999999999998</v>
      </c>
      <c r="BB20" s="251">
        <f t="shared" si="29"/>
        <v>15.2</v>
      </c>
      <c r="BC20" s="251">
        <f t="shared" si="30"/>
        <v>16.7</v>
      </c>
      <c r="BD20" s="251">
        <f t="shared" si="31"/>
        <v>18.2</v>
      </c>
      <c r="BE20" s="251" t="str">
        <f t="shared" si="32"/>
        <v>DNQ</v>
      </c>
      <c r="BF20" s="8"/>
      <c r="BG20" s="251">
        <f t="shared" si="33"/>
        <v>5.4169999999999998</v>
      </c>
      <c r="BH20" s="251">
        <f t="shared" si="34"/>
        <v>14.7</v>
      </c>
      <c r="BI20" s="251">
        <f t="shared" si="35"/>
        <v>16.100000000000001</v>
      </c>
      <c r="BJ20" s="251">
        <f t="shared" si="36"/>
        <v>17.600000000000001</v>
      </c>
      <c r="BK20" s="251" t="str">
        <f t="shared" si="37"/>
        <v>DNQ</v>
      </c>
      <c r="BL20" s="8"/>
      <c r="BM20" s="251">
        <f t="shared" si="38"/>
        <v>5.4169999999999998</v>
      </c>
      <c r="BN20" s="251">
        <f t="shared" si="39"/>
        <v>14.7</v>
      </c>
      <c r="BO20" s="251">
        <f t="shared" si="40"/>
        <v>16.100000000000001</v>
      </c>
      <c r="BP20" s="251">
        <f t="shared" si="41"/>
        <v>17.600000000000001</v>
      </c>
      <c r="BQ20" s="251" t="str">
        <f t="shared" si="42"/>
        <v>DNQ</v>
      </c>
      <c r="BR20" s="8"/>
      <c r="BS20" s="251">
        <f t="shared" si="43"/>
        <v>5.4169999999999998</v>
      </c>
      <c r="BT20" s="251">
        <f t="shared" si="44"/>
        <v>15.7</v>
      </c>
      <c r="BU20" s="251">
        <f t="shared" si="45"/>
        <v>17.2</v>
      </c>
      <c r="BV20" s="251">
        <f t="shared" si="46"/>
        <v>18.8</v>
      </c>
      <c r="BW20" s="251" t="str">
        <f t="shared" si="47"/>
        <v>DNQ</v>
      </c>
    </row>
    <row r="21" spans="2:75" x14ac:dyDescent="0.25">
      <c r="B21" s="459"/>
      <c r="C21" s="460"/>
      <c r="D21" s="460"/>
      <c r="E21" s="460"/>
      <c r="F21" s="460"/>
      <c r="G21" s="460"/>
      <c r="H21" s="208"/>
      <c r="I21" s="208"/>
      <c r="J21" s="208"/>
      <c r="K21" s="209"/>
      <c r="L21" s="210">
        <f t="shared" si="48"/>
        <v>0</v>
      </c>
      <c r="M21" s="211"/>
      <c r="N21" s="212"/>
      <c r="O21" s="327" t="str">
        <f t="shared" si="0"/>
        <v/>
      </c>
      <c r="P21" s="328" t="str">
        <f t="shared" si="49"/>
        <v/>
      </c>
      <c r="R21" s="251">
        <f t="shared" si="1"/>
        <v>0</v>
      </c>
      <c r="S21" s="251" t="e">
        <f t="shared" si="2"/>
        <v>#N/A</v>
      </c>
      <c r="T21" s="251" t="e">
        <f t="shared" si="3"/>
        <v>#N/A</v>
      </c>
      <c r="U21" s="251" t="e">
        <f t="shared" si="4"/>
        <v>#N/A</v>
      </c>
      <c r="V21" s="251" t="e">
        <f t="shared" si="5"/>
        <v>#N/A</v>
      </c>
      <c r="W21" s="251" t="e">
        <f t="shared" si="6"/>
        <v>#N/A</v>
      </c>
      <c r="X21" s="251" t="e">
        <f t="shared" si="7"/>
        <v>#N/A</v>
      </c>
      <c r="Y21" s="251" t="e">
        <f t="shared" si="8"/>
        <v>#N/A</v>
      </c>
      <c r="Z21" s="8"/>
      <c r="AA21" s="251" t="str">
        <f t="shared" si="9"/>
        <v>Error</v>
      </c>
      <c r="AB21" s="251" t="str">
        <f t="shared" si="10"/>
        <v>DNQ</v>
      </c>
      <c r="AC21" s="8"/>
      <c r="AD21" s="251">
        <f t="shared" si="11"/>
        <v>0</v>
      </c>
      <c r="AE21" s="251" t="e">
        <f t="shared" si="12"/>
        <v>#N/A</v>
      </c>
      <c r="AF21" s="251" t="e">
        <f t="shared" si="13"/>
        <v>#N/A</v>
      </c>
      <c r="AG21" s="251" t="e">
        <f t="shared" si="14"/>
        <v>#N/A</v>
      </c>
      <c r="AH21" s="8"/>
      <c r="AI21" s="251">
        <f t="shared" si="15"/>
        <v>0</v>
      </c>
      <c r="AJ21" s="251" t="e">
        <f t="shared" si="16"/>
        <v>#N/A</v>
      </c>
      <c r="AK21" s="251" t="e">
        <f t="shared" si="17"/>
        <v>#N/A</v>
      </c>
      <c r="AL21" s="8"/>
      <c r="AM21" s="251" t="str">
        <f t="shared" si="18"/>
        <v>Error</v>
      </c>
      <c r="AN21" s="251" t="e">
        <f t="shared" si="19"/>
        <v>#N/A</v>
      </c>
      <c r="AO21" s="251" t="e">
        <f t="shared" si="20"/>
        <v>#N/A</v>
      </c>
      <c r="AP21" s="8"/>
      <c r="AQ21" s="329">
        <f t="array" ref="AQ21">IFERROR(INDEX($G$77:$G$79,MATCH(1,($L21&gt;=$E$77:$E$80)*($L21&lt;$G$77:$G$79),0)),"Error")</f>
        <v>0.66700000000000004</v>
      </c>
      <c r="AR21" s="329">
        <f t="shared" si="21"/>
        <v>0</v>
      </c>
      <c r="AS21" s="329" t="str">
        <f t="shared" si="22"/>
        <v>DNQ</v>
      </c>
      <c r="AT21" s="8"/>
      <c r="AU21" s="251">
        <f t="shared" si="23"/>
        <v>3.75</v>
      </c>
      <c r="AV21" s="251">
        <f t="shared" si="24"/>
        <v>15.2</v>
      </c>
      <c r="AW21" s="251">
        <f t="shared" si="25"/>
        <v>16.7</v>
      </c>
      <c r="AX21" s="251">
        <f t="shared" si="26"/>
        <v>18.2</v>
      </c>
      <c r="AY21" s="251" t="str">
        <f t="shared" si="27"/>
        <v>DNQ</v>
      </c>
      <c r="AZ21" s="8"/>
      <c r="BA21" s="251">
        <f t="shared" si="28"/>
        <v>5.4169999999999998</v>
      </c>
      <c r="BB21" s="251">
        <f t="shared" si="29"/>
        <v>15.2</v>
      </c>
      <c r="BC21" s="251">
        <f t="shared" si="30"/>
        <v>16.7</v>
      </c>
      <c r="BD21" s="251">
        <f t="shared" si="31"/>
        <v>18.2</v>
      </c>
      <c r="BE21" s="251" t="str">
        <f t="shared" si="32"/>
        <v>DNQ</v>
      </c>
      <c r="BF21" s="8"/>
      <c r="BG21" s="251">
        <f t="shared" si="33"/>
        <v>5.4169999999999998</v>
      </c>
      <c r="BH21" s="251">
        <f t="shared" si="34"/>
        <v>14.7</v>
      </c>
      <c r="BI21" s="251">
        <f t="shared" si="35"/>
        <v>16.100000000000001</v>
      </c>
      <c r="BJ21" s="251">
        <f t="shared" si="36"/>
        <v>17.600000000000001</v>
      </c>
      <c r="BK21" s="251" t="str">
        <f t="shared" si="37"/>
        <v>DNQ</v>
      </c>
      <c r="BL21" s="8"/>
      <c r="BM21" s="251">
        <f t="shared" si="38"/>
        <v>5.4169999999999998</v>
      </c>
      <c r="BN21" s="251">
        <f t="shared" si="39"/>
        <v>14.7</v>
      </c>
      <c r="BO21" s="251">
        <f t="shared" si="40"/>
        <v>16.100000000000001</v>
      </c>
      <c r="BP21" s="251">
        <f t="shared" si="41"/>
        <v>17.600000000000001</v>
      </c>
      <c r="BQ21" s="251" t="str">
        <f t="shared" si="42"/>
        <v>DNQ</v>
      </c>
      <c r="BR21" s="8"/>
      <c r="BS21" s="251">
        <f t="shared" si="43"/>
        <v>5.4169999999999998</v>
      </c>
      <c r="BT21" s="251">
        <f t="shared" si="44"/>
        <v>15.7</v>
      </c>
      <c r="BU21" s="251">
        <f t="shared" si="45"/>
        <v>17.2</v>
      </c>
      <c r="BV21" s="251">
        <f t="shared" si="46"/>
        <v>18.8</v>
      </c>
      <c r="BW21" s="251" t="str">
        <f t="shared" si="47"/>
        <v>DNQ</v>
      </c>
    </row>
    <row r="22" spans="2:75" ht="15.75" thickBot="1" x14ac:dyDescent="0.3">
      <c r="B22" s="463"/>
      <c r="C22" s="464"/>
      <c r="D22" s="464"/>
      <c r="E22" s="464"/>
      <c r="F22" s="464"/>
      <c r="G22" s="464"/>
      <c r="H22" s="213"/>
      <c r="I22" s="213"/>
      <c r="J22" s="213"/>
      <c r="K22" s="214"/>
      <c r="L22" s="215">
        <f t="shared" si="48"/>
        <v>0</v>
      </c>
      <c r="M22" s="216"/>
      <c r="N22" s="217"/>
      <c r="O22" s="330" t="str">
        <f t="shared" si="0"/>
        <v/>
      </c>
      <c r="P22" s="331" t="str">
        <f t="shared" si="49"/>
        <v/>
      </c>
      <c r="R22" s="251">
        <f t="shared" si="1"/>
        <v>0</v>
      </c>
      <c r="S22" s="251" t="e">
        <f t="shared" si="2"/>
        <v>#N/A</v>
      </c>
      <c r="T22" s="251" t="e">
        <f t="shared" si="3"/>
        <v>#N/A</v>
      </c>
      <c r="U22" s="251" t="e">
        <f t="shared" si="4"/>
        <v>#N/A</v>
      </c>
      <c r="V22" s="251" t="e">
        <f t="shared" si="5"/>
        <v>#N/A</v>
      </c>
      <c r="W22" s="251" t="e">
        <f t="shared" si="6"/>
        <v>#N/A</v>
      </c>
      <c r="X22" s="251" t="e">
        <f t="shared" si="7"/>
        <v>#N/A</v>
      </c>
      <c r="Y22" s="251" t="e">
        <f t="shared" si="8"/>
        <v>#N/A</v>
      </c>
      <c r="Z22" s="8"/>
      <c r="AA22" s="251" t="str">
        <f t="shared" si="9"/>
        <v>Error</v>
      </c>
      <c r="AB22" s="251" t="str">
        <f t="shared" si="10"/>
        <v>DNQ</v>
      </c>
      <c r="AC22" s="8"/>
      <c r="AD22" s="251">
        <f t="shared" si="11"/>
        <v>0</v>
      </c>
      <c r="AE22" s="251" t="e">
        <f t="shared" si="12"/>
        <v>#N/A</v>
      </c>
      <c r="AF22" s="251" t="e">
        <f t="shared" si="13"/>
        <v>#N/A</v>
      </c>
      <c r="AG22" s="251" t="e">
        <f t="shared" si="14"/>
        <v>#N/A</v>
      </c>
      <c r="AH22" s="8"/>
      <c r="AI22" s="251">
        <f t="shared" si="15"/>
        <v>0</v>
      </c>
      <c r="AJ22" s="251" t="e">
        <f t="shared" si="16"/>
        <v>#N/A</v>
      </c>
      <c r="AK22" s="251" t="e">
        <f t="shared" si="17"/>
        <v>#N/A</v>
      </c>
      <c r="AL22" s="8"/>
      <c r="AM22" s="251" t="str">
        <f t="shared" si="18"/>
        <v>Error</v>
      </c>
      <c r="AN22" s="251" t="e">
        <f t="shared" si="19"/>
        <v>#N/A</v>
      </c>
      <c r="AO22" s="251" t="e">
        <f t="shared" si="20"/>
        <v>#N/A</v>
      </c>
      <c r="AP22" s="8"/>
      <c r="AQ22" s="329">
        <f t="array" ref="AQ22">IFERROR(INDEX($G$77:$G$79,MATCH(1,($L22&gt;=$E$77:$E$80)*($L22&lt;$G$77:$G$79),0)),"Error")</f>
        <v>0.66700000000000004</v>
      </c>
      <c r="AR22" s="329">
        <f t="shared" si="21"/>
        <v>0</v>
      </c>
      <c r="AS22" s="329" t="str">
        <f t="shared" si="22"/>
        <v>DNQ</v>
      </c>
      <c r="AT22" s="8"/>
      <c r="AU22" s="251">
        <f t="shared" si="23"/>
        <v>3.75</v>
      </c>
      <c r="AV22" s="251">
        <f t="shared" si="24"/>
        <v>15.2</v>
      </c>
      <c r="AW22" s="251">
        <f t="shared" si="25"/>
        <v>16.7</v>
      </c>
      <c r="AX22" s="251">
        <f t="shared" si="26"/>
        <v>18.2</v>
      </c>
      <c r="AY22" s="251" t="str">
        <f t="shared" si="27"/>
        <v>DNQ</v>
      </c>
      <c r="AZ22" s="8"/>
      <c r="BA22" s="251">
        <f t="shared" si="28"/>
        <v>5.4169999999999998</v>
      </c>
      <c r="BB22" s="251">
        <f t="shared" si="29"/>
        <v>15.2</v>
      </c>
      <c r="BC22" s="251">
        <f t="shared" si="30"/>
        <v>16.7</v>
      </c>
      <c r="BD22" s="251">
        <f t="shared" si="31"/>
        <v>18.2</v>
      </c>
      <c r="BE22" s="251" t="str">
        <f t="shared" si="32"/>
        <v>DNQ</v>
      </c>
      <c r="BF22" s="8"/>
      <c r="BG22" s="251">
        <f t="shared" si="33"/>
        <v>5.4169999999999998</v>
      </c>
      <c r="BH22" s="251">
        <f t="shared" si="34"/>
        <v>14.7</v>
      </c>
      <c r="BI22" s="251">
        <f t="shared" si="35"/>
        <v>16.100000000000001</v>
      </c>
      <c r="BJ22" s="251">
        <f t="shared" si="36"/>
        <v>17.600000000000001</v>
      </c>
      <c r="BK22" s="251" t="str">
        <f t="shared" si="37"/>
        <v>DNQ</v>
      </c>
      <c r="BL22" s="8"/>
      <c r="BM22" s="251">
        <f t="shared" si="38"/>
        <v>5.4169999999999998</v>
      </c>
      <c r="BN22" s="251">
        <f t="shared" si="39"/>
        <v>14.7</v>
      </c>
      <c r="BO22" s="251">
        <f t="shared" si="40"/>
        <v>16.100000000000001</v>
      </c>
      <c r="BP22" s="251">
        <f t="shared" si="41"/>
        <v>17.600000000000001</v>
      </c>
      <c r="BQ22" s="251" t="str">
        <f t="shared" si="42"/>
        <v>DNQ</v>
      </c>
      <c r="BR22" s="8"/>
      <c r="BS22" s="251">
        <f t="shared" si="43"/>
        <v>5.4169999999999998</v>
      </c>
      <c r="BT22" s="251">
        <f t="shared" si="44"/>
        <v>15.7</v>
      </c>
      <c r="BU22" s="251">
        <f t="shared" si="45"/>
        <v>17.2</v>
      </c>
      <c r="BV22" s="251">
        <f t="shared" si="46"/>
        <v>18.8</v>
      </c>
      <c r="BW22" s="251" t="str">
        <f t="shared" si="47"/>
        <v>DNQ</v>
      </c>
    </row>
    <row r="23" spans="2:75" ht="15.75" customHeight="1" thickBot="1" x14ac:dyDescent="0.3">
      <c r="B23" s="465" t="s">
        <v>47</v>
      </c>
      <c r="C23" s="466"/>
      <c r="D23" s="466"/>
      <c r="E23" s="466"/>
      <c r="F23" s="466"/>
      <c r="G23" s="466"/>
      <c r="H23" s="466"/>
      <c r="I23" s="466"/>
      <c r="J23" s="466"/>
      <c r="K23" s="466"/>
      <c r="L23" s="466"/>
      <c r="M23" s="466"/>
      <c r="N23" s="466"/>
      <c r="O23" s="467"/>
      <c r="P23" s="332">
        <f>SUM(P14:P22)</f>
        <v>0</v>
      </c>
    </row>
    <row r="24" spans="2:75" x14ac:dyDescent="0.25">
      <c r="B24" s="461" t="s">
        <v>83</v>
      </c>
      <c r="C24" s="461"/>
      <c r="D24" s="461"/>
      <c r="E24" s="461"/>
      <c r="F24" s="461"/>
      <c r="G24" s="461"/>
      <c r="H24" s="461"/>
      <c r="I24" s="461"/>
      <c r="J24" s="461"/>
      <c r="K24" s="461"/>
      <c r="L24" s="461"/>
      <c r="M24" s="461"/>
      <c r="N24" s="461"/>
      <c r="O24" s="461"/>
      <c r="Z24" s="166"/>
    </row>
    <row r="25" spans="2:75" x14ac:dyDescent="0.25">
      <c r="B25" s="290"/>
      <c r="C25" s="290"/>
      <c r="D25" s="290"/>
      <c r="E25" s="290"/>
      <c r="F25" s="290"/>
      <c r="G25" s="290"/>
      <c r="H25" s="290"/>
      <c r="I25" s="290"/>
      <c r="J25" s="290"/>
      <c r="K25" s="290"/>
      <c r="L25" s="290"/>
      <c r="M25" s="290"/>
      <c r="N25" s="290"/>
      <c r="O25" s="290"/>
      <c r="Z25" s="166"/>
    </row>
    <row r="26" spans="2:75" ht="15" customHeight="1" x14ac:dyDescent="0.25">
      <c r="B26" s="496" t="s">
        <v>253</v>
      </c>
      <c r="C26" s="496"/>
      <c r="D26" s="496"/>
      <c r="E26" s="496"/>
      <c r="F26" s="496"/>
      <c r="G26" s="496"/>
      <c r="H26" s="496"/>
      <c r="I26" s="496"/>
      <c r="J26" s="496"/>
      <c r="K26" s="496"/>
      <c r="L26" s="496"/>
      <c r="M26" s="496"/>
      <c r="N26" s="496"/>
      <c r="O26" s="496"/>
      <c r="P26" s="496"/>
      <c r="R26" s="304" t="s">
        <v>60</v>
      </c>
    </row>
    <row r="27" spans="2:75" x14ac:dyDescent="0.25">
      <c r="B27" s="291" t="s">
        <v>315</v>
      </c>
      <c r="C27" s="333"/>
      <c r="D27" s="333"/>
      <c r="E27" s="333"/>
      <c r="F27" s="333"/>
      <c r="G27" s="333"/>
      <c r="H27" s="334"/>
      <c r="I27" s="334"/>
      <c r="J27" s="334"/>
      <c r="K27" s="334"/>
      <c r="L27" s="334"/>
      <c r="M27" s="334"/>
      <c r="N27" s="8"/>
      <c r="R27" s="335" t="s">
        <v>212</v>
      </c>
    </row>
    <row r="28" spans="2:75" x14ac:dyDescent="0.25">
      <c r="B28" s="291"/>
      <c r="C28" s="333"/>
      <c r="D28" s="333"/>
      <c r="E28" s="333"/>
      <c r="F28" s="333"/>
      <c r="G28" s="333"/>
      <c r="H28" s="462" t="s">
        <v>148</v>
      </c>
      <c r="I28" s="462"/>
      <c r="J28" s="462" t="s">
        <v>149</v>
      </c>
      <c r="K28" s="462"/>
      <c r="L28" s="462" t="s">
        <v>214</v>
      </c>
      <c r="M28" s="462"/>
      <c r="O28" s="8"/>
      <c r="R28" s="335" t="s">
        <v>213</v>
      </c>
    </row>
    <row r="29" spans="2:75" x14ac:dyDescent="0.25">
      <c r="B29" s="336"/>
      <c r="C29" s="336"/>
      <c r="D29" s="336"/>
      <c r="E29" s="336"/>
      <c r="F29" s="336"/>
      <c r="G29" s="336"/>
      <c r="H29" s="509" t="s">
        <v>182</v>
      </c>
      <c r="I29" s="510"/>
      <c r="J29" s="509" t="s">
        <v>182</v>
      </c>
      <c r="K29" s="510"/>
      <c r="L29" s="509" t="s">
        <v>182</v>
      </c>
      <c r="M29" s="510"/>
      <c r="O29" s="8"/>
      <c r="R29" s="335" t="s">
        <v>215</v>
      </c>
    </row>
    <row r="30" spans="2:75" x14ac:dyDescent="0.25">
      <c r="B30" s="337">
        <v>0</v>
      </c>
      <c r="C30" s="338" t="s">
        <v>217</v>
      </c>
      <c r="D30" s="339">
        <v>45000</v>
      </c>
      <c r="E30" s="337">
        <v>0</v>
      </c>
      <c r="F30" s="338" t="s">
        <v>218</v>
      </c>
      <c r="G30" s="340">
        <v>3.75</v>
      </c>
      <c r="H30" s="511">
        <v>15.2</v>
      </c>
      <c r="I30" s="512"/>
      <c r="J30" s="511">
        <v>16.7</v>
      </c>
      <c r="K30" s="512"/>
      <c r="L30" s="511">
        <v>18.2</v>
      </c>
      <c r="M30" s="512"/>
      <c r="N30" s="341"/>
      <c r="O30" s="8"/>
      <c r="R30" s="335" t="s">
        <v>216</v>
      </c>
    </row>
    <row r="31" spans="2:75" x14ac:dyDescent="0.25">
      <c r="B31" s="342">
        <v>45000</v>
      </c>
      <c r="C31" s="338" t="s">
        <v>220</v>
      </c>
      <c r="D31" s="339">
        <v>65000</v>
      </c>
      <c r="E31" s="337">
        <v>3.75</v>
      </c>
      <c r="F31" s="338" t="s">
        <v>221</v>
      </c>
      <c r="G31" s="340">
        <v>5.4169999999999998</v>
      </c>
      <c r="H31" s="511">
        <v>15.2</v>
      </c>
      <c r="I31" s="512"/>
      <c r="J31" s="511">
        <v>16.7</v>
      </c>
      <c r="K31" s="512"/>
      <c r="L31" s="511">
        <v>18.2</v>
      </c>
      <c r="M31" s="512"/>
      <c r="O31" s="8"/>
      <c r="R31" s="343" t="s">
        <v>211</v>
      </c>
    </row>
    <row r="32" spans="2:75" x14ac:dyDescent="0.25">
      <c r="B32" s="336"/>
      <c r="C32" s="336"/>
      <c r="D32" s="336"/>
      <c r="E32" s="336"/>
      <c r="F32" s="336"/>
      <c r="G32" s="336"/>
      <c r="H32" s="509" t="s">
        <v>314</v>
      </c>
      <c r="I32" s="510"/>
      <c r="J32" s="509" t="s">
        <v>314</v>
      </c>
      <c r="K32" s="510"/>
      <c r="L32" s="509" t="s">
        <v>314</v>
      </c>
      <c r="M32" s="510"/>
      <c r="O32" s="8"/>
      <c r="R32" s="343" t="s">
        <v>219</v>
      </c>
    </row>
    <row r="33" spans="2:18" x14ac:dyDescent="0.25">
      <c r="B33" s="337">
        <v>0</v>
      </c>
      <c r="C33" s="338" t="s">
        <v>217</v>
      </c>
      <c r="D33" s="339">
        <v>65000</v>
      </c>
      <c r="E33" s="337">
        <v>0</v>
      </c>
      <c r="F33" s="338" t="s">
        <v>218</v>
      </c>
      <c r="G33" s="340">
        <v>5.4169999999999998</v>
      </c>
      <c r="H33" s="513">
        <v>15.2</v>
      </c>
      <c r="I33" s="514"/>
      <c r="J33" s="513">
        <v>16.7</v>
      </c>
      <c r="K33" s="514"/>
      <c r="L33" s="513">
        <v>18.2</v>
      </c>
      <c r="M33" s="514"/>
      <c r="O33" s="8"/>
      <c r="R33" s="343" t="s">
        <v>222</v>
      </c>
    </row>
    <row r="34" spans="2:18" x14ac:dyDescent="0.25">
      <c r="B34" s="33"/>
      <c r="C34" s="344"/>
      <c r="D34" s="344"/>
      <c r="E34" s="500" t="s">
        <v>108</v>
      </c>
      <c r="F34" s="501"/>
      <c r="G34" s="502"/>
      <c r="H34" s="469">
        <v>100</v>
      </c>
      <c r="I34" s="470"/>
      <c r="J34" s="468">
        <v>175</v>
      </c>
      <c r="K34" s="468"/>
      <c r="L34" s="468">
        <v>250</v>
      </c>
      <c r="M34" s="468"/>
      <c r="O34" s="8"/>
      <c r="R34" s="343" t="s">
        <v>223</v>
      </c>
    </row>
    <row r="35" spans="2:18" x14ac:dyDescent="0.25">
      <c r="B35" s="345"/>
      <c r="C35" s="345"/>
      <c r="D35" s="346"/>
      <c r="E35" s="345"/>
      <c r="F35" s="347"/>
      <c r="G35" s="346"/>
      <c r="H35" s="347"/>
      <c r="I35" s="347"/>
      <c r="J35" s="347"/>
      <c r="K35" s="347"/>
      <c r="O35" s="8"/>
      <c r="R35" s="343" t="s">
        <v>226</v>
      </c>
    </row>
    <row r="36" spans="2:18" x14ac:dyDescent="0.25">
      <c r="B36" s="291" t="s">
        <v>316</v>
      </c>
      <c r="C36" s="333"/>
      <c r="D36" s="333"/>
      <c r="E36" s="333"/>
      <c r="F36" s="333"/>
      <c r="G36" s="333"/>
      <c r="H36" s="334"/>
      <c r="I36" s="334"/>
      <c r="J36" s="334"/>
      <c r="K36" s="334"/>
      <c r="L36" s="334"/>
      <c r="M36" s="334"/>
      <c r="O36" s="8"/>
      <c r="R36" s="343" t="s">
        <v>227</v>
      </c>
    </row>
    <row r="37" spans="2:18" x14ac:dyDescent="0.25">
      <c r="B37" s="291"/>
      <c r="C37" s="333"/>
      <c r="D37" s="333"/>
      <c r="E37" s="333"/>
      <c r="F37" s="333"/>
      <c r="G37" s="333"/>
      <c r="H37" s="462" t="s">
        <v>148</v>
      </c>
      <c r="I37" s="462"/>
      <c r="J37" s="462" t="s">
        <v>149</v>
      </c>
      <c r="K37" s="462"/>
      <c r="L37" s="462" t="s">
        <v>214</v>
      </c>
      <c r="M37" s="462"/>
      <c r="R37" s="343" t="s">
        <v>228</v>
      </c>
    </row>
    <row r="38" spans="2:18" x14ac:dyDescent="0.25">
      <c r="B38" s="336"/>
      <c r="C38" s="336"/>
      <c r="D38" s="336"/>
      <c r="E38" s="336"/>
      <c r="F38" s="336"/>
      <c r="G38" s="336"/>
      <c r="H38" s="509" t="s">
        <v>182</v>
      </c>
      <c r="I38" s="510"/>
      <c r="J38" s="509" t="s">
        <v>182</v>
      </c>
      <c r="K38" s="510"/>
      <c r="L38" s="509" t="s">
        <v>182</v>
      </c>
      <c r="M38" s="510"/>
      <c r="R38" s="343" t="s">
        <v>141</v>
      </c>
    </row>
    <row r="39" spans="2:18" x14ac:dyDescent="0.25">
      <c r="B39" s="337">
        <v>0</v>
      </c>
      <c r="C39" s="338" t="s">
        <v>217</v>
      </c>
      <c r="D39" s="339">
        <v>65000</v>
      </c>
      <c r="E39" s="337">
        <v>0</v>
      </c>
      <c r="F39" s="338" t="s">
        <v>218</v>
      </c>
      <c r="G39" s="340">
        <v>5.4169999999999998</v>
      </c>
      <c r="H39" s="513">
        <v>14.7</v>
      </c>
      <c r="I39" s="514"/>
      <c r="J39" s="513">
        <v>16.100000000000001</v>
      </c>
      <c r="K39" s="514"/>
      <c r="L39" s="513">
        <v>17.600000000000001</v>
      </c>
      <c r="M39" s="514"/>
      <c r="R39" s="343" t="s">
        <v>229</v>
      </c>
    </row>
    <row r="40" spans="2:18" x14ac:dyDescent="0.25">
      <c r="B40" s="517"/>
      <c r="C40" s="517"/>
      <c r="D40" s="517"/>
      <c r="E40" s="517"/>
      <c r="F40" s="517"/>
      <c r="G40" s="517"/>
      <c r="H40" s="348" t="s">
        <v>224</v>
      </c>
      <c r="I40" s="348" t="s">
        <v>225</v>
      </c>
      <c r="J40" s="348" t="s">
        <v>224</v>
      </c>
      <c r="K40" s="348" t="s">
        <v>225</v>
      </c>
      <c r="L40" s="348" t="s">
        <v>224</v>
      </c>
      <c r="M40" s="348" t="s">
        <v>225</v>
      </c>
      <c r="R40" s="343" t="s">
        <v>231</v>
      </c>
    </row>
    <row r="41" spans="2:18" x14ac:dyDescent="0.25">
      <c r="B41" s="337">
        <v>0</v>
      </c>
      <c r="C41" s="338" t="s">
        <v>217</v>
      </c>
      <c r="D41" s="339">
        <v>65000</v>
      </c>
      <c r="E41" s="337">
        <v>0</v>
      </c>
      <c r="F41" s="338" t="s">
        <v>218</v>
      </c>
      <c r="G41" s="340">
        <v>5.4169999999999998</v>
      </c>
      <c r="H41" s="349">
        <v>14.7</v>
      </c>
      <c r="I41" s="349">
        <v>15.7</v>
      </c>
      <c r="J41" s="349">
        <v>16.100000000000001</v>
      </c>
      <c r="K41" s="350">
        <v>17.2</v>
      </c>
      <c r="L41" s="349">
        <v>17.600000000000001</v>
      </c>
      <c r="M41" s="350">
        <v>18.8</v>
      </c>
    </row>
    <row r="42" spans="2:18" x14ac:dyDescent="0.25">
      <c r="B42" s="33"/>
      <c r="C42" s="344"/>
      <c r="D42" s="344"/>
      <c r="E42" s="500" t="s">
        <v>108</v>
      </c>
      <c r="F42" s="501"/>
      <c r="G42" s="502"/>
      <c r="H42" s="469">
        <v>100</v>
      </c>
      <c r="I42" s="470"/>
      <c r="J42" s="469">
        <v>175</v>
      </c>
      <c r="K42" s="470"/>
      <c r="L42" s="469">
        <v>250</v>
      </c>
      <c r="M42" s="470"/>
    </row>
    <row r="43" spans="2:18" x14ac:dyDescent="0.25">
      <c r="B43" s="291"/>
      <c r="C43" s="333"/>
      <c r="D43" s="333"/>
      <c r="E43" s="333"/>
      <c r="F43" s="333"/>
      <c r="G43" s="333"/>
      <c r="H43" s="333"/>
      <c r="I43" s="333"/>
      <c r="J43" s="333"/>
      <c r="K43" s="333"/>
      <c r="R43" s="304" t="s">
        <v>192</v>
      </c>
    </row>
    <row r="44" spans="2:18" x14ac:dyDescent="0.25">
      <c r="B44" s="291" t="s">
        <v>317</v>
      </c>
      <c r="C44" s="333"/>
      <c r="D44" s="333"/>
      <c r="E44" s="333"/>
      <c r="F44" s="333"/>
      <c r="G44" s="333"/>
      <c r="H44" s="333"/>
      <c r="I44" s="333"/>
      <c r="J44" s="333"/>
      <c r="K44" s="333"/>
      <c r="R44" s="343" t="s">
        <v>210</v>
      </c>
    </row>
    <row r="45" spans="2:18" x14ac:dyDescent="0.25">
      <c r="H45" s="462" t="s">
        <v>148</v>
      </c>
      <c r="I45" s="462"/>
      <c r="J45" s="462" t="s">
        <v>149</v>
      </c>
      <c r="K45" s="462"/>
      <c r="L45" s="462" t="s">
        <v>214</v>
      </c>
      <c r="M45" s="462"/>
      <c r="R45" s="343" t="s">
        <v>230</v>
      </c>
    </row>
    <row r="46" spans="2:18" x14ac:dyDescent="0.25">
      <c r="B46" s="336"/>
      <c r="C46" s="336"/>
      <c r="D46" s="336"/>
      <c r="E46" s="336"/>
      <c r="F46" s="336"/>
      <c r="G46" s="336"/>
      <c r="H46" s="509" t="s">
        <v>182</v>
      </c>
      <c r="I46" s="510"/>
      <c r="J46" s="509" t="s">
        <v>182</v>
      </c>
      <c r="K46" s="510"/>
      <c r="L46" s="509" t="s">
        <v>182</v>
      </c>
      <c r="M46" s="510"/>
    </row>
    <row r="47" spans="2:18" x14ac:dyDescent="0.25">
      <c r="B47" s="337">
        <v>65000</v>
      </c>
      <c r="C47" s="338" t="s">
        <v>220</v>
      </c>
      <c r="D47" s="339">
        <v>135000</v>
      </c>
      <c r="E47" s="337">
        <f>ROUND(B47/12000,3)</f>
        <v>5.4169999999999998</v>
      </c>
      <c r="F47" s="338" t="s">
        <v>221</v>
      </c>
      <c r="G47" s="340">
        <f>ROUND(D47/12000,3)</f>
        <v>11.25</v>
      </c>
      <c r="H47" s="515">
        <v>16.3</v>
      </c>
      <c r="I47" s="515"/>
      <c r="J47" s="515">
        <v>17.8</v>
      </c>
      <c r="K47" s="515"/>
      <c r="L47" s="515">
        <v>19.600000000000001</v>
      </c>
      <c r="M47" s="515"/>
    </row>
    <row r="48" spans="2:18" x14ac:dyDescent="0.25">
      <c r="B48" s="351">
        <v>135000</v>
      </c>
      <c r="C48" s="352" t="s">
        <v>220</v>
      </c>
      <c r="D48" s="353">
        <v>240000</v>
      </c>
      <c r="E48" s="351">
        <f>ROUND(B48/12000,3)</f>
        <v>11.25</v>
      </c>
      <c r="F48" s="352" t="s">
        <v>221</v>
      </c>
      <c r="G48" s="354">
        <f>ROUND(D48/12000,3)</f>
        <v>20</v>
      </c>
      <c r="H48" s="515">
        <v>15.6</v>
      </c>
      <c r="I48" s="515"/>
      <c r="J48" s="515">
        <v>17</v>
      </c>
      <c r="K48" s="515"/>
      <c r="L48" s="515">
        <v>18.7</v>
      </c>
      <c r="M48" s="515"/>
    </row>
    <row r="49" spans="2:13" x14ac:dyDescent="0.25">
      <c r="B49" s="337">
        <v>240000</v>
      </c>
      <c r="C49" s="338" t="s">
        <v>232</v>
      </c>
      <c r="D49" s="339"/>
      <c r="E49" s="351">
        <f>ROUND(B49/12000,3)</f>
        <v>20</v>
      </c>
      <c r="F49" s="352" t="s">
        <v>233</v>
      </c>
      <c r="G49" s="354" t="s">
        <v>234</v>
      </c>
      <c r="H49" s="516" t="s">
        <v>235</v>
      </c>
      <c r="I49" s="516"/>
      <c r="J49" s="516" t="s">
        <v>235</v>
      </c>
      <c r="K49" s="516"/>
      <c r="L49" s="516" t="s">
        <v>235</v>
      </c>
      <c r="M49" s="516"/>
    </row>
    <row r="50" spans="2:13" ht="15" customHeight="1" x14ac:dyDescent="0.25">
      <c r="B50" s="33"/>
      <c r="C50" s="344"/>
      <c r="D50" s="344"/>
      <c r="E50" s="500" t="s">
        <v>108</v>
      </c>
      <c r="F50" s="501"/>
      <c r="G50" s="502"/>
      <c r="H50" s="468">
        <v>100</v>
      </c>
      <c r="I50" s="468"/>
      <c r="J50" s="468">
        <v>175</v>
      </c>
      <c r="K50" s="468"/>
      <c r="L50" s="468">
        <v>250</v>
      </c>
      <c r="M50" s="468"/>
    </row>
    <row r="52" spans="2:13" x14ac:dyDescent="0.25">
      <c r="B52" s="355"/>
      <c r="C52" s="355"/>
      <c r="D52" s="355"/>
      <c r="E52" s="355"/>
      <c r="F52" s="355"/>
      <c r="G52" s="355"/>
      <c r="H52" s="356" t="s">
        <v>228</v>
      </c>
      <c r="I52" s="357"/>
    </row>
    <row r="53" spans="2:13" x14ac:dyDescent="0.25">
      <c r="B53" s="479">
        <v>65000</v>
      </c>
      <c r="C53" s="481" t="s">
        <v>220</v>
      </c>
      <c r="D53" s="483">
        <v>135000</v>
      </c>
      <c r="E53" s="485">
        <f>ROUND(B53/12000,3)</f>
        <v>5.4169999999999998</v>
      </c>
      <c r="F53" s="471" t="s">
        <v>221</v>
      </c>
      <c r="G53" s="487">
        <f>ROUND(D53/12000,3)</f>
        <v>11.25</v>
      </c>
      <c r="H53" s="358">
        <v>11</v>
      </c>
    </row>
    <row r="54" spans="2:13" x14ac:dyDescent="0.25">
      <c r="B54" s="480"/>
      <c r="C54" s="482"/>
      <c r="D54" s="484"/>
      <c r="E54" s="486"/>
      <c r="F54" s="472"/>
      <c r="G54" s="488"/>
      <c r="H54" s="359">
        <v>15.5</v>
      </c>
    </row>
    <row r="55" spans="2:13" x14ac:dyDescent="0.25">
      <c r="B55" s="479">
        <v>135000</v>
      </c>
      <c r="C55" s="481" t="s">
        <v>220</v>
      </c>
      <c r="D55" s="483">
        <v>240000</v>
      </c>
      <c r="E55" s="485">
        <f>ROUND(B55/12000,3)</f>
        <v>11.25</v>
      </c>
      <c r="F55" s="471" t="s">
        <v>221</v>
      </c>
      <c r="G55" s="473">
        <f>ROUND(D55/12000,3)</f>
        <v>20</v>
      </c>
      <c r="H55" s="358">
        <v>10.6</v>
      </c>
    </row>
    <row r="56" spans="2:13" x14ac:dyDescent="0.25">
      <c r="B56" s="480"/>
      <c r="C56" s="482"/>
      <c r="D56" s="484"/>
      <c r="E56" s="486"/>
      <c r="F56" s="472"/>
      <c r="G56" s="474"/>
      <c r="H56" s="359">
        <v>14.9</v>
      </c>
    </row>
    <row r="57" spans="2:13" x14ac:dyDescent="0.25">
      <c r="B57" s="479">
        <v>240000</v>
      </c>
      <c r="C57" s="481" t="s">
        <v>239</v>
      </c>
      <c r="D57" s="483"/>
      <c r="E57" s="485">
        <f>ROUND(B57/12000,3)</f>
        <v>20</v>
      </c>
      <c r="F57" s="471" t="s">
        <v>221</v>
      </c>
      <c r="G57" s="507" t="s">
        <v>234</v>
      </c>
      <c r="H57" s="503" t="s">
        <v>235</v>
      </c>
    </row>
    <row r="58" spans="2:13" x14ac:dyDescent="0.25">
      <c r="B58" s="480"/>
      <c r="C58" s="482"/>
      <c r="D58" s="484"/>
      <c r="E58" s="486"/>
      <c r="F58" s="472"/>
      <c r="G58" s="508"/>
      <c r="H58" s="504"/>
    </row>
    <row r="59" spans="2:13" x14ac:dyDescent="0.25">
      <c r="B59" s="33"/>
      <c r="C59" s="344"/>
      <c r="D59" s="344"/>
      <c r="E59" s="500" t="s">
        <v>108</v>
      </c>
      <c r="F59" s="501"/>
      <c r="G59" s="502"/>
      <c r="H59" s="248">
        <v>100</v>
      </c>
    </row>
    <row r="60" spans="2:13" x14ac:dyDescent="0.25">
      <c r="B60" s="360"/>
      <c r="C60" s="360"/>
      <c r="D60" s="360"/>
      <c r="E60" s="360"/>
      <c r="F60" s="360"/>
      <c r="G60" s="360"/>
      <c r="H60" s="169"/>
    </row>
    <row r="61" spans="2:13" x14ac:dyDescent="0.25">
      <c r="B61" s="291" t="s">
        <v>318</v>
      </c>
      <c r="C61" s="360"/>
      <c r="D61" s="360"/>
      <c r="E61" s="360"/>
      <c r="F61" s="360"/>
      <c r="G61" s="360"/>
      <c r="H61" s="169"/>
    </row>
    <row r="62" spans="2:13" x14ac:dyDescent="0.25">
      <c r="B62" s="355"/>
      <c r="C62" s="355"/>
      <c r="D62" s="355"/>
      <c r="E62" s="355"/>
      <c r="F62" s="355"/>
      <c r="G62" s="355"/>
      <c r="H62" s="356" t="s">
        <v>141</v>
      </c>
    </row>
    <row r="63" spans="2:13" x14ac:dyDescent="0.25">
      <c r="B63" s="361">
        <v>0</v>
      </c>
      <c r="C63" s="362" t="s">
        <v>217</v>
      </c>
      <c r="D63" s="363">
        <v>17000</v>
      </c>
      <c r="E63" s="364">
        <f>ROUND(B63/12000,3)</f>
        <v>0</v>
      </c>
      <c r="F63" s="362" t="s">
        <v>218</v>
      </c>
      <c r="G63" s="365">
        <f>ROUND(D63/12000,3)</f>
        <v>1.417</v>
      </c>
      <c r="H63" s="366">
        <v>13.4</v>
      </c>
    </row>
    <row r="64" spans="2:13" x14ac:dyDescent="0.25">
      <c r="B64" s="361">
        <v>17000</v>
      </c>
      <c r="C64" s="362" t="s">
        <v>220</v>
      </c>
      <c r="D64" s="367">
        <v>135000</v>
      </c>
      <c r="E64" s="364">
        <f>ROUND(B64/12000,3)</f>
        <v>1.417</v>
      </c>
      <c r="F64" s="362" t="s">
        <v>221</v>
      </c>
      <c r="G64" s="368">
        <f>ROUND(D64/12000,3)</f>
        <v>11.25</v>
      </c>
      <c r="H64" s="366">
        <v>14.3</v>
      </c>
    </row>
    <row r="65" spans="2:9" x14ac:dyDescent="0.25">
      <c r="B65" s="361">
        <v>135000</v>
      </c>
      <c r="C65" s="362" t="s">
        <v>239</v>
      </c>
      <c r="D65" s="367"/>
      <c r="E65" s="364">
        <f>ROUND(B65/12000,3)</f>
        <v>11.25</v>
      </c>
      <c r="F65" s="362" t="s">
        <v>221</v>
      </c>
      <c r="G65" s="368" t="s">
        <v>234</v>
      </c>
      <c r="H65" s="366" t="s">
        <v>235</v>
      </c>
    </row>
    <row r="66" spans="2:9" x14ac:dyDescent="0.25">
      <c r="B66" s="33"/>
      <c r="C66" s="344"/>
      <c r="D66" s="344"/>
      <c r="E66" s="500" t="s">
        <v>108</v>
      </c>
      <c r="F66" s="501"/>
      <c r="G66" s="502"/>
      <c r="H66" s="248">
        <v>100</v>
      </c>
    </row>
    <row r="67" spans="2:9" x14ac:dyDescent="0.25">
      <c r="B67" s="360"/>
      <c r="C67" s="360"/>
      <c r="D67" s="369"/>
      <c r="E67" s="360"/>
      <c r="F67" s="360"/>
      <c r="G67" s="360"/>
      <c r="H67" s="169"/>
    </row>
    <row r="68" spans="2:9" x14ac:dyDescent="0.25">
      <c r="B68" s="291" t="s">
        <v>319</v>
      </c>
      <c r="C68" s="360"/>
      <c r="D68" s="369"/>
      <c r="E68" s="360"/>
      <c r="F68" s="360"/>
      <c r="G68" s="360"/>
      <c r="H68" s="169"/>
    </row>
    <row r="69" spans="2:9" x14ac:dyDescent="0.25">
      <c r="B69" s="355"/>
      <c r="C69" s="355"/>
      <c r="D69" s="355"/>
      <c r="E69" s="355"/>
      <c r="F69" s="355"/>
      <c r="G69" s="355"/>
      <c r="H69" s="356" t="s">
        <v>240</v>
      </c>
    </row>
    <row r="70" spans="2:9" x14ac:dyDescent="0.25">
      <c r="B70" s="370">
        <v>0</v>
      </c>
      <c r="C70" s="338" t="s">
        <v>217</v>
      </c>
      <c r="D70" s="371">
        <v>65000</v>
      </c>
      <c r="E70" s="364">
        <f>ROUND(B70/12000,3)</f>
        <v>0</v>
      </c>
      <c r="F70" s="362" t="s">
        <v>218</v>
      </c>
      <c r="G70" s="365">
        <f>ROUND(D70/12000,3)</f>
        <v>5.4169999999999998</v>
      </c>
      <c r="H70" s="366">
        <v>12.1</v>
      </c>
    </row>
    <row r="71" spans="2:9" x14ac:dyDescent="0.25">
      <c r="B71" s="370">
        <v>65000</v>
      </c>
      <c r="C71" s="338" t="s">
        <v>220</v>
      </c>
      <c r="D71" s="372">
        <v>240000</v>
      </c>
      <c r="E71" s="364">
        <f>ROUND(B71/12000,3)</f>
        <v>5.4169999999999998</v>
      </c>
      <c r="F71" s="362" t="s">
        <v>221</v>
      </c>
      <c r="G71" s="368">
        <f>ROUND(D71/12000,3)</f>
        <v>20</v>
      </c>
      <c r="H71" s="366">
        <v>11</v>
      </c>
    </row>
    <row r="72" spans="2:9" x14ac:dyDescent="0.25">
      <c r="B72" s="370">
        <v>240000</v>
      </c>
      <c r="C72" s="338" t="s">
        <v>239</v>
      </c>
      <c r="D72" s="372"/>
      <c r="E72" s="364">
        <f>ROUND(B72/12000,3)</f>
        <v>20</v>
      </c>
      <c r="F72" s="362" t="s">
        <v>221</v>
      </c>
      <c r="G72" s="373" t="s">
        <v>234</v>
      </c>
      <c r="H72" s="366" t="s">
        <v>235</v>
      </c>
    </row>
    <row r="73" spans="2:9" x14ac:dyDescent="0.25">
      <c r="B73" s="33"/>
      <c r="C73" s="344"/>
      <c r="D73" s="344"/>
      <c r="E73" s="500" t="s">
        <v>108</v>
      </c>
      <c r="F73" s="501"/>
      <c r="G73" s="502"/>
      <c r="H73" s="248">
        <v>100</v>
      </c>
    </row>
    <row r="74" spans="2:9" x14ac:dyDescent="0.25">
      <c r="C74" s="374"/>
      <c r="D74" s="374"/>
      <c r="E74" s="375"/>
      <c r="F74" s="375"/>
      <c r="G74" s="375"/>
      <c r="H74" s="168"/>
    </row>
    <row r="75" spans="2:9" x14ac:dyDescent="0.25">
      <c r="B75" s="291" t="s">
        <v>320</v>
      </c>
      <c r="C75" s="374"/>
      <c r="D75" s="374"/>
      <c r="E75" s="375"/>
      <c r="F75" s="375"/>
      <c r="G75" s="375"/>
      <c r="H75" s="168"/>
    </row>
    <row r="76" spans="2:9" x14ac:dyDescent="0.25">
      <c r="H76" s="505" t="s">
        <v>231</v>
      </c>
      <c r="I76" s="506"/>
    </row>
    <row r="77" spans="2:9" x14ac:dyDescent="0.25">
      <c r="B77" s="361">
        <v>0</v>
      </c>
      <c r="C77" s="338" t="s">
        <v>217</v>
      </c>
      <c r="D77" s="363">
        <v>8000</v>
      </c>
      <c r="E77" s="376">
        <f>ROUND(B77/12000,3)</f>
        <v>0</v>
      </c>
      <c r="F77" s="362" t="s">
        <v>218</v>
      </c>
      <c r="G77" s="377">
        <f>E78</f>
        <v>0.66700000000000004</v>
      </c>
      <c r="H77" s="497"/>
      <c r="I77" s="498"/>
    </row>
    <row r="78" spans="2:9" x14ac:dyDescent="0.25">
      <c r="B78" s="361">
        <v>8000</v>
      </c>
      <c r="C78" s="338" t="s">
        <v>220</v>
      </c>
      <c r="D78" s="363">
        <v>14000</v>
      </c>
      <c r="E78" s="376">
        <f>ROUND(B78/12000,3)</f>
        <v>0.66700000000000004</v>
      </c>
      <c r="F78" s="362" t="s">
        <v>221</v>
      </c>
      <c r="G78" s="377">
        <f>E79</f>
        <v>1.167</v>
      </c>
      <c r="H78" s="497">
        <v>13.8</v>
      </c>
      <c r="I78" s="498"/>
    </row>
    <row r="79" spans="2:9" x14ac:dyDescent="0.25">
      <c r="B79" s="361">
        <v>14000</v>
      </c>
      <c r="C79" s="338" t="s">
        <v>220</v>
      </c>
      <c r="D79" s="363">
        <v>28000</v>
      </c>
      <c r="E79" s="376">
        <f>ROUND(B79/12000,3)</f>
        <v>1.167</v>
      </c>
      <c r="F79" s="362" t="s">
        <v>221</v>
      </c>
      <c r="G79" s="377">
        <f>E80</f>
        <v>2.3330000000000002</v>
      </c>
      <c r="H79" s="497">
        <v>14.3</v>
      </c>
      <c r="I79" s="498"/>
    </row>
    <row r="80" spans="2:9" x14ac:dyDescent="0.25">
      <c r="B80" s="361">
        <v>28000</v>
      </c>
      <c r="C80" s="338" t="s">
        <v>220</v>
      </c>
      <c r="D80" s="363"/>
      <c r="E80" s="376">
        <f>ROUND(B80/12000,3)</f>
        <v>2.3330000000000002</v>
      </c>
      <c r="F80" s="362" t="s">
        <v>221</v>
      </c>
      <c r="G80" s="378"/>
      <c r="H80" s="497" t="s">
        <v>235</v>
      </c>
      <c r="I80" s="498"/>
    </row>
    <row r="81" spans="2:12" x14ac:dyDescent="0.25">
      <c r="B81" s="33"/>
      <c r="C81" s="344"/>
      <c r="D81" s="344"/>
      <c r="E81" s="500" t="s">
        <v>108</v>
      </c>
      <c r="F81" s="501"/>
      <c r="G81" s="502"/>
      <c r="H81" s="469">
        <v>75</v>
      </c>
      <c r="I81" s="470"/>
    </row>
    <row r="82" spans="2:12" x14ac:dyDescent="0.25">
      <c r="B82" s="2"/>
      <c r="C82" s="2"/>
      <c r="D82" s="2"/>
    </row>
    <row r="83" spans="2:12" x14ac:dyDescent="0.25">
      <c r="B83" s="291" t="s">
        <v>321</v>
      </c>
      <c r="C83" s="2"/>
      <c r="D83" s="2"/>
    </row>
    <row r="84" spans="2:12" x14ac:dyDescent="0.25">
      <c r="H84" s="475" t="s">
        <v>129</v>
      </c>
      <c r="I84" s="476"/>
      <c r="J84" s="477" t="s">
        <v>134</v>
      </c>
      <c r="K84" s="477"/>
    </row>
    <row r="85" spans="2:12" x14ac:dyDescent="0.25">
      <c r="B85" s="262"/>
      <c r="C85" s="262"/>
      <c r="D85" s="262"/>
      <c r="E85" s="262"/>
      <c r="F85" s="262"/>
      <c r="G85" s="262"/>
      <c r="H85" s="379" t="s">
        <v>165</v>
      </c>
      <c r="I85" s="379" t="s">
        <v>166</v>
      </c>
      <c r="J85" s="379" t="s">
        <v>165</v>
      </c>
      <c r="K85" s="379" t="s">
        <v>166</v>
      </c>
    </row>
    <row r="86" spans="2:12" x14ac:dyDescent="0.25">
      <c r="B86" s="361">
        <v>0</v>
      </c>
      <c r="C86" s="362" t="s">
        <v>217</v>
      </c>
      <c r="D86" s="367">
        <v>7000</v>
      </c>
      <c r="E86" s="376">
        <f>ROUND(B86/12000,3)</f>
        <v>0</v>
      </c>
      <c r="F86" s="362" t="s">
        <v>218</v>
      </c>
      <c r="G86" s="380">
        <f>ROUND(D86/12000,3)</f>
        <v>0.58299999999999996</v>
      </c>
      <c r="H86" s="381">
        <v>13.1</v>
      </c>
      <c r="I86" s="381">
        <v>10.3</v>
      </c>
      <c r="J86" s="381">
        <v>13.1</v>
      </c>
      <c r="K86" s="381">
        <v>10.199999999999999</v>
      </c>
    </row>
    <row r="87" spans="2:12" ht="17.25" x14ac:dyDescent="0.25">
      <c r="B87" s="361">
        <v>7000</v>
      </c>
      <c r="C87" s="362" t="s">
        <v>220</v>
      </c>
      <c r="D87" s="367">
        <v>15000</v>
      </c>
      <c r="E87" s="376">
        <f>ROUND(B87/12000,3)</f>
        <v>0.58299999999999996</v>
      </c>
      <c r="F87" s="362" t="s">
        <v>221</v>
      </c>
      <c r="G87" s="380">
        <f>ROUND(D87/12000,3)</f>
        <v>1.25</v>
      </c>
      <c r="H87" s="167" t="s">
        <v>236</v>
      </c>
      <c r="I87" s="167" t="s">
        <v>237</v>
      </c>
      <c r="J87" s="167" t="s">
        <v>236</v>
      </c>
      <c r="K87" s="167" t="s">
        <v>238</v>
      </c>
    </row>
    <row r="88" spans="2:12" x14ac:dyDescent="0.25">
      <c r="B88" s="361">
        <v>15000</v>
      </c>
      <c r="C88" s="362" t="s">
        <v>220</v>
      </c>
      <c r="D88" s="367">
        <v>65000</v>
      </c>
      <c r="E88" s="376">
        <f>ROUND(B88/12000,3)</f>
        <v>1.25</v>
      </c>
      <c r="F88" s="362" t="s">
        <v>221</v>
      </c>
      <c r="G88" s="380">
        <f>ROUND(D88/12000,3)</f>
        <v>5.4169999999999998</v>
      </c>
      <c r="H88" s="381">
        <v>10.5</v>
      </c>
      <c r="I88" s="381">
        <v>8.5</v>
      </c>
      <c r="J88" s="381">
        <v>10.5</v>
      </c>
      <c r="K88" s="381">
        <v>8.4</v>
      </c>
    </row>
    <row r="89" spans="2:12" x14ac:dyDescent="0.25">
      <c r="B89" s="33"/>
      <c r="C89" s="344"/>
      <c r="D89" s="344"/>
      <c r="E89" s="500" t="s">
        <v>108</v>
      </c>
      <c r="F89" s="501"/>
      <c r="G89" s="502"/>
      <c r="H89" s="469">
        <v>60</v>
      </c>
      <c r="I89" s="478"/>
      <c r="J89" s="478"/>
      <c r="K89" s="470"/>
    </row>
    <row r="90" spans="2:12" x14ac:dyDescent="0.25">
      <c r="B90" s="2"/>
      <c r="C90" s="2"/>
      <c r="D90" s="2"/>
    </row>
    <row r="91" spans="2:12" x14ac:dyDescent="0.25">
      <c r="B91" s="499" t="s">
        <v>322</v>
      </c>
      <c r="C91" s="499"/>
      <c r="D91" s="499"/>
      <c r="E91" s="499"/>
      <c r="F91" s="499"/>
      <c r="G91" s="499"/>
      <c r="H91" s="499"/>
      <c r="I91" s="499"/>
      <c r="J91" s="499"/>
      <c r="K91" s="499"/>
      <c r="L91" s="382"/>
    </row>
    <row r="92" spans="2:12" ht="90" customHeight="1" x14ac:dyDescent="0.25"/>
    <row r="99" s="1" customFormat="1" ht="104.25" customHeight="1" x14ac:dyDescent="0.25"/>
  </sheetData>
  <sheetProtection algorithmName="SHA-512" hashValue="5SVDJYGxIvYDL7menn0HBGWjsFadJ7mduFD6LdRI1XMxK4A5JGJ5tmClq83DbwxhZc0xZBBLkkV3QHBNXLnlQQ==" saltValue="WHSPqRCfGz/cjppnLMj6gw==" spinCount="100000" sheet="1" selectLockedCells="1"/>
  <mergeCells count="130">
    <mergeCell ref="E34:G34"/>
    <mergeCell ref="E42:G42"/>
    <mergeCell ref="E50:G50"/>
    <mergeCell ref="E59:G59"/>
    <mergeCell ref="E66:G66"/>
    <mergeCell ref="E73:G73"/>
    <mergeCell ref="H39:I39"/>
    <mergeCell ref="J39:K39"/>
    <mergeCell ref="L39:M39"/>
    <mergeCell ref="H47:I47"/>
    <mergeCell ref="J47:K47"/>
    <mergeCell ref="L47:M47"/>
    <mergeCell ref="H48:I48"/>
    <mergeCell ref="J48:K48"/>
    <mergeCell ref="L48:M48"/>
    <mergeCell ref="H49:I49"/>
    <mergeCell ref="B40:G40"/>
    <mergeCell ref="H46:I46"/>
    <mergeCell ref="J46:K46"/>
    <mergeCell ref="L46:M46"/>
    <mergeCell ref="J49:K49"/>
    <mergeCell ref="L49:M49"/>
    <mergeCell ref="H38:I38"/>
    <mergeCell ref="J38:K38"/>
    <mergeCell ref="L38:M38"/>
    <mergeCell ref="H30:I30"/>
    <mergeCell ref="J30:K30"/>
    <mergeCell ref="L30:M30"/>
    <mergeCell ref="H29:I29"/>
    <mergeCell ref="J29:K29"/>
    <mergeCell ref="L29:M29"/>
    <mergeCell ref="H32:I32"/>
    <mergeCell ref="J32:K32"/>
    <mergeCell ref="L32:M32"/>
    <mergeCell ref="H31:I31"/>
    <mergeCell ref="J31:K31"/>
    <mergeCell ref="L31:M31"/>
    <mergeCell ref="H37:I37"/>
    <mergeCell ref="J37:K37"/>
    <mergeCell ref="L37:M37"/>
    <mergeCell ref="H34:I34"/>
    <mergeCell ref="J34:K34"/>
    <mergeCell ref="L34:M34"/>
    <mergeCell ref="H33:I33"/>
    <mergeCell ref="J33:K33"/>
    <mergeCell ref="L33:M33"/>
    <mergeCell ref="B1:E1"/>
    <mergeCell ref="F1:P1"/>
    <mergeCell ref="F3:G3"/>
    <mergeCell ref="B26:P26"/>
    <mergeCell ref="H78:I78"/>
    <mergeCell ref="H79:I79"/>
    <mergeCell ref="H80:I80"/>
    <mergeCell ref="H81:I81"/>
    <mergeCell ref="B91:K91"/>
    <mergeCell ref="E81:G81"/>
    <mergeCell ref="E89:G89"/>
    <mergeCell ref="H57:H58"/>
    <mergeCell ref="H76:I76"/>
    <mergeCell ref="H77:I77"/>
    <mergeCell ref="B57:B58"/>
    <mergeCell ref="C57:C58"/>
    <mergeCell ref="D57:D58"/>
    <mergeCell ref="E57:E58"/>
    <mergeCell ref="F57:F58"/>
    <mergeCell ref="G57:G58"/>
    <mergeCell ref="B55:B56"/>
    <mergeCell ref="C55:C56"/>
    <mergeCell ref="D55:D56"/>
    <mergeCell ref="E55:E56"/>
    <mergeCell ref="F55:F56"/>
    <mergeCell ref="G55:G56"/>
    <mergeCell ref="H84:I84"/>
    <mergeCell ref="J84:K84"/>
    <mergeCell ref="H89:K89"/>
    <mergeCell ref="B53:B54"/>
    <mergeCell ref="C53:C54"/>
    <mergeCell ref="D53:D54"/>
    <mergeCell ref="E53:E54"/>
    <mergeCell ref="F53:F54"/>
    <mergeCell ref="G53:G54"/>
    <mergeCell ref="H50:I50"/>
    <mergeCell ref="J50:K50"/>
    <mergeCell ref="L50:M50"/>
    <mergeCell ref="H45:I45"/>
    <mergeCell ref="J45:K45"/>
    <mergeCell ref="L45:M45"/>
    <mergeCell ref="H42:I42"/>
    <mergeCell ref="J42:K42"/>
    <mergeCell ref="L42:M42"/>
    <mergeCell ref="B24:O24"/>
    <mergeCell ref="H28:I28"/>
    <mergeCell ref="J28:K28"/>
    <mergeCell ref="L28:M28"/>
    <mergeCell ref="B21:D21"/>
    <mergeCell ref="E21:G21"/>
    <mergeCell ref="B22:D22"/>
    <mergeCell ref="E22:G22"/>
    <mergeCell ref="B23:O23"/>
    <mergeCell ref="B18:D18"/>
    <mergeCell ref="E18:G18"/>
    <mergeCell ref="B19:D19"/>
    <mergeCell ref="E19:G19"/>
    <mergeCell ref="B20:D20"/>
    <mergeCell ref="E20:G20"/>
    <mergeCell ref="B15:D15"/>
    <mergeCell ref="E15:G15"/>
    <mergeCell ref="B16:D16"/>
    <mergeCell ref="E16:G16"/>
    <mergeCell ref="B17:D17"/>
    <mergeCell ref="E17:G17"/>
    <mergeCell ref="B12:D12"/>
    <mergeCell ref="E12:G12"/>
    <mergeCell ref="N12:O12"/>
    <mergeCell ref="B13:D13"/>
    <mergeCell ref="E13:G13"/>
    <mergeCell ref="B14:D14"/>
    <mergeCell ref="E14:G14"/>
    <mergeCell ref="AQ11:AS11"/>
    <mergeCell ref="AU11:AY11"/>
    <mergeCell ref="BA11:BE11"/>
    <mergeCell ref="BG11:BK11"/>
    <mergeCell ref="BM11:BQ11"/>
    <mergeCell ref="BS11:BW11"/>
    <mergeCell ref="B11:P11"/>
    <mergeCell ref="R11:Y11"/>
    <mergeCell ref="AA11:AB11"/>
    <mergeCell ref="AD11:AG11"/>
    <mergeCell ref="AI11:AK11"/>
    <mergeCell ref="AM11:AO11"/>
  </mergeCells>
  <dataValidations count="5">
    <dataValidation allowBlank="1" showInputMessage="1" showErrorMessage="1" promptTitle="Note" prompt="Enter the rated capacity of the unit._x000a__x000a_Example:_x000a_3 ton unit ‘as advertised’, but it’s rated capacity is 2.83 tons" sqref="K14:K22" xr:uid="{AA589419-D073-4A0F-BDD5-7942AC45DC1A}"/>
    <dataValidation allowBlank="1" showInputMessage="1" showErrorMessage="1" promptTitle="Note" prompt="Enter the rated capacity of the unit._x000a__x000a_Example:_x000a_3 ton unit ‘as advertised’, but it’s rated capacity is 2.833 tons" sqref="K13:L13 L14:L22" xr:uid="{0784887C-4DE2-4243-B1F9-88FE566AA354}"/>
    <dataValidation type="list" allowBlank="1" showInputMessage="1" showErrorMessage="1" sqref="J13:J22" xr:uid="{A50033B8-D663-4078-BB89-62B0E0A4AC80}">
      <formula1>$R$27:$R$40</formula1>
    </dataValidation>
    <dataValidation type="list" allowBlank="1" showInputMessage="1" showErrorMessage="1" sqref="I13:I22" xr:uid="{84C86091-72FC-428A-89E0-22D54B699B7E}">
      <formula1>$R$44:$R$45</formula1>
    </dataValidation>
    <dataValidation allowBlank="1" showInputMessage="1" showErrorMessage="1" promptTitle="Note" prompt="For Split/Package/Air HP: Units less than 5 tons do not require an EER value" sqref="M14:M22" xr:uid="{DC242AC1-ED7B-43B3-94E5-181DE39E684C}"/>
  </dataValidations>
  <pageMargins left="0.15" right="0.35" top="0.5" bottom="0.5" header="0.3" footer="0.3"/>
  <pageSetup scale="24" fitToHeight="0" orientation="portrait" r:id="rId1"/>
  <headerFooter>
    <oddFooter>&amp;C
Questions: Call the Business Program (808)839-8880 (Oahu) or toll free at (877)231-8222</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2A51C4-70B3-4CEA-A8D7-3D2472E0646E}">
          <x14:formula1>
            <xm:f>AC_HP_EFLH_CF!$A$7:$A$15</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AC05-B130-4F15-AD27-E22C49DD0089}">
  <sheetPr>
    <pageSetUpPr fitToPage="1"/>
  </sheetPr>
  <dimension ref="A1:Z54"/>
  <sheetViews>
    <sheetView showGridLines="0" zoomScaleNormal="100" workbookViewId="0">
      <selection activeCell="D3" sqref="D3:E3"/>
    </sheetView>
  </sheetViews>
  <sheetFormatPr defaultColWidth="8.85546875" defaultRowHeight="14.45" customHeight="1" x14ac:dyDescent="0.25"/>
  <cols>
    <col min="1" max="1" width="2.7109375" style="11" customWidth="1"/>
    <col min="2" max="2" width="26.140625" style="11" bestFit="1" customWidth="1"/>
    <col min="3" max="3" width="18.7109375" style="11" bestFit="1" customWidth="1"/>
    <col min="4" max="4" width="12.7109375" style="11" customWidth="1"/>
    <col min="5" max="5" width="11.42578125" style="11" bestFit="1" customWidth="1"/>
    <col min="6" max="6" width="12.7109375" style="11" customWidth="1"/>
    <col min="7" max="7" width="5.5703125" style="11" customWidth="1"/>
    <col min="8" max="8" width="16.7109375" style="11" customWidth="1"/>
    <col min="9" max="9" width="5.5703125" style="11" bestFit="1" customWidth="1"/>
    <col min="10" max="10" width="12.42578125" style="252" bestFit="1" customWidth="1"/>
    <col min="11" max="11" width="9.7109375" style="11" customWidth="1"/>
    <col min="12" max="12" width="13.42578125" style="11" customWidth="1"/>
    <col min="13" max="13" width="13.7109375" style="11" bestFit="1" customWidth="1"/>
    <col min="14" max="14" width="7.28515625" style="11" customWidth="1"/>
    <col min="15" max="15" width="5.28515625" style="11" customWidth="1"/>
    <col min="16" max="16" width="2.85546875" style="11" customWidth="1"/>
    <col min="17" max="18" width="8.7109375" style="11" customWidth="1"/>
    <col min="19" max="19" width="17.5703125" style="11" bestFit="1" customWidth="1"/>
    <col min="20" max="20" width="21.5703125" style="11" customWidth="1"/>
    <col min="21" max="21" width="2.7109375" style="11" customWidth="1"/>
    <col min="22" max="22" width="22.28515625" style="262" hidden="1" customWidth="1"/>
    <col min="23" max="24" width="21.7109375" style="262" hidden="1" customWidth="1"/>
    <col min="25" max="25" width="18.42578125" style="262" hidden="1" customWidth="1"/>
    <col min="26" max="26" width="16.5703125" style="262" hidden="1" customWidth="1"/>
    <col min="27" max="16384" width="8.85546875" style="262"/>
  </cols>
  <sheetData>
    <row r="1" spans="2:26" ht="54" customHeight="1" thickBot="1" x14ac:dyDescent="0.3">
      <c r="B1" s="489"/>
      <c r="C1" s="491"/>
      <c r="D1" s="555" t="s">
        <v>305</v>
      </c>
      <c r="E1" s="555"/>
      <c r="F1" s="555"/>
      <c r="G1" s="555"/>
      <c r="H1" s="555"/>
      <c r="I1" s="555"/>
      <c r="J1" s="555"/>
      <c r="K1" s="555"/>
      <c r="L1" s="555"/>
      <c r="M1" s="555"/>
      <c r="N1" s="555"/>
      <c r="O1" s="555"/>
      <c r="P1" s="555"/>
      <c r="Q1" s="555"/>
      <c r="R1" s="555"/>
      <c r="S1" s="555"/>
      <c r="T1" s="556"/>
      <c r="U1" s="260"/>
      <c r="V1" s="261" t="s">
        <v>60</v>
      </c>
      <c r="W1" s="261" t="s">
        <v>61</v>
      </c>
      <c r="Y1" s="261" t="s">
        <v>303</v>
      </c>
    </row>
    <row r="2" spans="2:26" ht="14.45" customHeight="1" x14ac:dyDescent="0.25">
      <c r="B2" s="263"/>
      <c r="C2" s="263"/>
      <c r="D2" s="263"/>
      <c r="E2" s="263"/>
      <c r="F2" s="263"/>
      <c r="G2" s="263"/>
      <c r="H2" s="263"/>
      <c r="I2" s="263"/>
      <c r="J2" s="264"/>
      <c r="K2" s="263"/>
      <c r="L2" s="263"/>
      <c r="M2" s="263"/>
      <c r="N2" s="263"/>
      <c r="O2" s="263"/>
      <c r="P2" s="265"/>
      <c r="Q2" s="263"/>
      <c r="R2" s="263"/>
      <c r="S2" s="263"/>
      <c r="T2" s="263"/>
      <c r="U2" s="263"/>
      <c r="V2" s="266" t="s">
        <v>62</v>
      </c>
      <c r="W2" s="266" t="s">
        <v>63</v>
      </c>
      <c r="Y2" s="48"/>
    </row>
    <row r="3" spans="2:26" ht="14.45" customHeight="1" x14ac:dyDescent="0.25">
      <c r="C3" s="50" t="s">
        <v>59</v>
      </c>
      <c r="D3" s="400"/>
      <c r="E3" s="400"/>
      <c r="F3" s="267"/>
      <c r="G3" s="262"/>
      <c r="H3" s="268" t="s">
        <v>68</v>
      </c>
      <c r="I3" s="53"/>
      <c r="J3" s="269" t="s">
        <v>69</v>
      </c>
      <c r="K3" s="270"/>
      <c r="L3" s="262"/>
      <c r="M3" s="271"/>
      <c r="N3" s="263"/>
      <c r="O3" s="262"/>
      <c r="P3" s="262"/>
      <c r="Q3" s="262"/>
      <c r="R3" s="262"/>
      <c r="S3" s="262"/>
      <c r="T3" s="270"/>
      <c r="U3" s="270"/>
      <c r="V3" s="266" t="s">
        <v>64</v>
      </c>
      <c r="W3" s="266" t="s">
        <v>65</v>
      </c>
    </row>
    <row r="4" spans="2:26" ht="14.45" customHeight="1" x14ac:dyDescent="0.25">
      <c r="B4" s="518"/>
      <c r="C4" s="518"/>
      <c r="D4" s="518"/>
      <c r="E4" s="518"/>
      <c r="F4" s="518"/>
      <c r="G4" s="518"/>
      <c r="H4" s="518"/>
      <c r="I4" s="53"/>
      <c r="J4" s="269" t="s">
        <v>70</v>
      </c>
      <c r="K4" s="272"/>
      <c r="L4" s="262"/>
      <c r="M4" s="272"/>
      <c r="N4" s="8"/>
      <c r="O4" s="262"/>
      <c r="P4" s="262"/>
      <c r="Q4" s="262"/>
      <c r="R4" s="262"/>
      <c r="S4" s="262"/>
      <c r="V4" s="266" t="s">
        <v>66</v>
      </c>
    </row>
    <row r="5" spans="2:26" ht="14.45" customHeight="1" thickBot="1" x14ac:dyDescent="0.3">
      <c r="B5" s="273"/>
      <c r="C5" s="273"/>
      <c r="D5" s="273"/>
      <c r="E5" s="273"/>
      <c r="F5" s="273"/>
      <c r="G5" s="273"/>
      <c r="H5" s="273"/>
      <c r="I5" s="273"/>
      <c r="J5" s="274"/>
      <c r="K5" s="273"/>
      <c r="L5" s="273"/>
      <c r="M5" s="273"/>
      <c r="N5" s="273"/>
      <c r="O5" s="273"/>
      <c r="P5" s="250"/>
      <c r="Q5" s="275"/>
      <c r="R5" s="275"/>
      <c r="S5" s="276"/>
      <c r="T5" s="250"/>
      <c r="V5" s="266" t="s">
        <v>67</v>
      </c>
    </row>
    <row r="6" spans="2:26" ht="14.45" customHeight="1" x14ac:dyDescent="0.25">
      <c r="B6" s="531" t="s">
        <v>14</v>
      </c>
      <c r="C6" s="532"/>
      <c r="D6" s="532" t="s">
        <v>15</v>
      </c>
      <c r="E6" s="532"/>
      <c r="F6" s="532"/>
      <c r="G6" s="532"/>
      <c r="H6" s="534" t="s">
        <v>60</v>
      </c>
      <c r="I6" s="535"/>
      <c r="J6" s="538" t="s">
        <v>61</v>
      </c>
      <c r="K6" s="532" t="s">
        <v>16</v>
      </c>
      <c r="L6" s="456" t="s">
        <v>71</v>
      </c>
      <c r="M6" s="456" t="s">
        <v>72</v>
      </c>
      <c r="N6" s="520" t="s">
        <v>73</v>
      </c>
      <c r="O6" s="521"/>
      <c r="P6" s="522"/>
      <c r="Q6" s="521" t="s">
        <v>74</v>
      </c>
      <c r="R6" s="522"/>
      <c r="S6" s="526" t="s">
        <v>75</v>
      </c>
      <c r="T6" s="528" t="s">
        <v>76</v>
      </c>
      <c r="U6" s="277"/>
    </row>
    <row r="7" spans="2:26" ht="14.45" customHeight="1" x14ac:dyDescent="0.25">
      <c r="B7" s="533"/>
      <c r="C7" s="530"/>
      <c r="D7" s="530" t="s">
        <v>77</v>
      </c>
      <c r="E7" s="530"/>
      <c r="F7" s="530" t="s">
        <v>78</v>
      </c>
      <c r="G7" s="530"/>
      <c r="H7" s="536"/>
      <c r="I7" s="537"/>
      <c r="J7" s="539"/>
      <c r="K7" s="530"/>
      <c r="L7" s="519"/>
      <c r="M7" s="519"/>
      <c r="N7" s="523"/>
      <c r="O7" s="524"/>
      <c r="P7" s="525"/>
      <c r="Q7" s="524"/>
      <c r="R7" s="525"/>
      <c r="S7" s="527"/>
      <c r="T7" s="529"/>
      <c r="U7" s="277"/>
      <c r="V7" s="261" t="s">
        <v>79</v>
      </c>
      <c r="W7" s="266" t="s">
        <v>62</v>
      </c>
      <c r="X7" s="266" t="s">
        <v>64</v>
      </c>
      <c r="Y7" s="266" t="s">
        <v>66</v>
      </c>
      <c r="Z7" s="266" t="s">
        <v>67</v>
      </c>
    </row>
    <row r="8" spans="2:26" ht="14.45" customHeight="1" thickBot="1" x14ac:dyDescent="0.3">
      <c r="B8" s="540" t="s">
        <v>80</v>
      </c>
      <c r="C8" s="541"/>
      <c r="D8" s="541" t="s">
        <v>81</v>
      </c>
      <c r="E8" s="541"/>
      <c r="F8" s="541" t="s">
        <v>82</v>
      </c>
      <c r="G8" s="541"/>
      <c r="H8" s="541" t="s">
        <v>62</v>
      </c>
      <c r="I8" s="541"/>
      <c r="J8" s="278" t="s">
        <v>63</v>
      </c>
      <c r="K8" s="278">
        <v>1</v>
      </c>
      <c r="L8" s="279">
        <v>60000</v>
      </c>
      <c r="M8" s="280">
        <f>IF(ISBLANK(L8),"",(ROUND(L8/12000,2)))</f>
        <v>5</v>
      </c>
      <c r="N8" s="279"/>
      <c r="O8" s="541"/>
      <c r="P8" s="541"/>
      <c r="Q8" s="281">
        <v>15.5</v>
      </c>
      <c r="R8" s="279" t="str">
        <f>IF(M8="","",IF(M8&gt;=$I$37,"IEER",IF(H8=$V$5,"SEER","SEER2")))</f>
        <v>SEER2</v>
      </c>
      <c r="S8" s="218">
        <f t="shared" ref="S8:S21" si="0">IF(OR(H8&lt;&gt;"",J8&lt;&gt;""), $J$51, "")</f>
        <v>250</v>
      </c>
      <c r="T8" s="219">
        <f t="shared" ref="T8:T21" si="1">IFERROR(IF(OR(ISBLANK(H8),ISBLANK(J8)),"Please Select AC Type",IF($V8="","Contact Advisor",IF(Q8&gt;=$V8,S8*K8*M8, "DNQ"))), "Contact Advisor")</f>
        <v>1250</v>
      </c>
      <c r="U8" s="262"/>
      <c r="V8" s="282">
        <f>IF(AND(J8=$W$2,L8&lt;$F$37),IF(H8=$V$5,$J$49,$J$37),_xlfn.XLOOKUP(H8,$W$7:$Z$7,W$8:Z$8))</f>
        <v>15.2</v>
      </c>
      <c r="W8" s="282">
        <f t="shared" ref="W8:W21" si="2">IF(L8&gt;=$F$40,"",_xlfn.XLOOKUP(L8,$D$38:$D$40,$J$38:$J$40,"",-1))</f>
        <v>14.7</v>
      </c>
      <c r="X8" s="282">
        <f t="shared" ref="X8:X21" si="3">IF(L8&gt;=$F$44,"",_xlfn.XLOOKUP(L8,$D$42:$D$44,$J$42:$J$44,"",-1))</f>
        <v>14.7</v>
      </c>
      <c r="Y8" s="282">
        <f t="shared" ref="Y8:Y21" si="4">IF(L8&gt;=$F$48,"",_xlfn.XLOOKUP(L8,$D$46:$D$48,$J$46:$J$48,"",-1))</f>
        <v>15.7</v>
      </c>
      <c r="Z8" s="283">
        <f t="shared" ref="Z8:Z21" si="5">IF(L8&gt;=$F$50,"",_xlfn.XLOOKUP(L8,$D$49:$D$50,$J$49:$J$50,"",-1))</f>
        <v>16</v>
      </c>
    </row>
    <row r="9" spans="2:26" ht="14.45" customHeight="1" thickTop="1" x14ac:dyDescent="0.25">
      <c r="B9" s="542"/>
      <c r="C9" s="543"/>
      <c r="D9" s="543"/>
      <c r="E9" s="543"/>
      <c r="F9" s="543"/>
      <c r="G9" s="543"/>
      <c r="H9" s="543"/>
      <c r="I9" s="543"/>
      <c r="J9" s="220"/>
      <c r="K9" s="220"/>
      <c r="L9" s="221"/>
      <c r="M9" s="284" t="str">
        <f>IF(ISBLANK(L9),"",(ROUND(L9/12000,2)))</f>
        <v/>
      </c>
      <c r="N9" s="220"/>
      <c r="O9" s="544" t="str">
        <f t="shared" ref="O9:O21" si="6">IF(L9="","",IF(L9&gt;=$F$37,"EER",""))</f>
        <v/>
      </c>
      <c r="P9" s="545"/>
      <c r="Q9" s="222"/>
      <c r="R9" s="285" t="str">
        <f t="shared" ref="R9:R21" si="7">IF(L9="","",IF(L9&gt;=$F$37,"IEER",IF(H9=$V$5,"SEER","SEER2")))</f>
        <v/>
      </c>
      <c r="S9" s="286" t="str">
        <f t="shared" si="0"/>
        <v/>
      </c>
      <c r="T9" s="225" t="str">
        <f t="shared" si="1"/>
        <v>Please Select AC Type</v>
      </c>
      <c r="U9" s="262"/>
      <c r="V9" s="282" t="e">
        <f>IF(AND(J9=$W$2,L9&lt;$F$37),IF(H9=$V$5,$J$49,$J$37),_xlfn.XLOOKUP(H9,$W$7:$Z$7,W$9:Z$9))</f>
        <v>#N/A</v>
      </c>
      <c r="W9" s="282">
        <f t="shared" si="2"/>
        <v>15.6</v>
      </c>
      <c r="X9" s="282">
        <f t="shared" si="3"/>
        <v>14.9</v>
      </c>
      <c r="Y9" s="282">
        <f t="shared" si="4"/>
        <v>14.9</v>
      </c>
      <c r="Z9" s="283">
        <f t="shared" si="5"/>
        <v>16</v>
      </c>
    </row>
    <row r="10" spans="2:26" ht="14.45" customHeight="1" x14ac:dyDescent="0.25">
      <c r="B10" s="546"/>
      <c r="C10" s="547"/>
      <c r="D10" s="547"/>
      <c r="E10" s="547"/>
      <c r="F10" s="547"/>
      <c r="G10" s="547"/>
      <c r="H10" s="547"/>
      <c r="I10" s="547"/>
      <c r="J10" s="202"/>
      <c r="K10" s="202"/>
      <c r="L10" s="202"/>
      <c r="M10" s="284" t="str">
        <f>IF(ISBLANK(L10),"",(ROUND(L10/12000,2)))</f>
        <v/>
      </c>
      <c r="N10" s="202"/>
      <c r="O10" s="548" t="str">
        <f t="shared" si="6"/>
        <v/>
      </c>
      <c r="P10" s="549"/>
      <c r="Q10" s="222"/>
      <c r="R10" s="285" t="str">
        <f t="shared" si="7"/>
        <v/>
      </c>
      <c r="S10" s="286" t="str">
        <f t="shared" si="0"/>
        <v/>
      </c>
      <c r="T10" s="225" t="str">
        <f t="shared" si="1"/>
        <v>Please Select AC Type</v>
      </c>
      <c r="U10" s="262"/>
      <c r="V10" s="282" t="e">
        <f>IF(AND(J10=$W$2,L10&lt;$F$37),IF(H10=$V$5,$J$49,$J$37),_xlfn.XLOOKUP(H10,$W$7:$Z$7,W$10:Z$10))</f>
        <v>#N/A</v>
      </c>
      <c r="W10" s="282">
        <f t="shared" si="2"/>
        <v>15.6</v>
      </c>
      <c r="X10" s="282">
        <f t="shared" si="3"/>
        <v>14.9</v>
      </c>
      <c r="Y10" s="282">
        <f t="shared" si="4"/>
        <v>14.9</v>
      </c>
      <c r="Z10" s="283">
        <f t="shared" si="5"/>
        <v>16</v>
      </c>
    </row>
    <row r="11" spans="2:26" ht="14.45" customHeight="1" x14ac:dyDescent="0.25">
      <c r="B11" s="546"/>
      <c r="C11" s="547"/>
      <c r="D11" s="547"/>
      <c r="E11" s="547"/>
      <c r="F11" s="547"/>
      <c r="G11" s="547"/>
      <c r="H11" s="547"/>
      <c r="I11" s="547"/>
      <c r="J11" s="202"/>
      <c r="K11" s="202"/>
      <c r="L11" s="202"/>
      <c r="M11" s="284" t="str">
        <f t="shared" ref="M11:M21" si="8">IF(ISBLANK(L11),"",(ROUND(L11/12000,2)))</f>
        <v/>
      </c>
      <c r="N11" s="202"/>
      <c r="O11" s="548" t="str">
        <f t="shared" si="6"/>
        <v/>
      </c>
      <c r="P11" s="549"/>
      <c r="Q11" s="222"/>
      <c r="R11" s="285" t="str">
        <f t="shared" si="7"/>
        <v/>
      </c>
      <c r="S11" s="286" t="str">
        <f t="shared" si="0"/>
        <v/>
      </c>
      <c r="T11" s="225" t="str">
        <f t="shared" si="1"/>
        <v>Please Select AC Type</v>
      </c>
      <c r="U11" s="262"/>
      <c r="V11" s="282" t="e">
        <f>IF(AND(J11=$W$2,L11&lt;$F$37),IF(H11=$V$5,$J$49,$J$37),_xlfn.XLOOKUP(H11,$W$7:$Z$7,W$11:Z$11))</f>
        <v>#N/A</v>
      </c>
      <c r="W11" s="282">
        <f t="shared" si="2"/>
        <v>15.6</v>
      </c>
      <c r="X11" s="282">
        <f t="shared" si="3"/>
        <v>14.9</v>
      </c>
      <c r="Y11" s="282">
        <f t="shared" si="4"/>
        <v>14.9</v>
      </c>
      <c r="Z11" s="283">
        <f t="shared" si="5"/>
        <v>16</v>
      </c>
    </row>
    <row r="12" spans="2:26" ht="14.45" customHeight="1" x14ac:dyDescent="0.25">
      <c r="B12" s="546"/>
      <c r="C12" s="547"/>
      <c r="D12" s="547"/>
      <c r="E12" s="547"/>
      <c r="F12" s="547"/>
      <c r="G12" s="547"/>
      <c r="H12" s="547"/>
      <c r="I12" s="547"/>
      <c r="J12" s="202"/>
      <c r="K12" s="202"/>
      <c r="L12" s="202"/>
      <c r="M12" s="284" t="str">
        <f t="shared" si="8"/>
        <v/>
      </c>
      <c r="N12" s="202"/>
      <c r="O12" s="548" t="str">
        <f t="shared" si="6"/>
        <v/>
      </c>
      <c r="P12" s="549"/>
      <c r="Q12" s="222"/>
      <c r="R12" s="285" t="str">
        <f t="shared" si="7"/>
        <v/>
      </c>
      <c r="S12" s="286" t="str">
        <f t="shared" si="0"/>
        <v/>
      </c>
      <c r="T12" s="225" t="str">
        <f t="shared" si="1"/>
        <v>Please Select AC Type</v>
      </c>
      <c r="U12" s="262"/>
      <c r="V12" s="282" t="e">
        <f>IF(AND(J12=$W$2,L12&lt;$F$37),IF(H12=$V$5,$J$49,$J$37),_xlfn.XLOOKUP(H12,$W$7:$Z$7,W$12:Z$12))</f>
        <v>#N/A</v>
      </c>
      <c r="W12" s="282">
        <f t="shared" si="2"/>
        <v>15.6</v>
      </c>
      <c r="X12" s="282">
        <f t="shared" si="3"/>
        <v>14.9</v>
      </c>
      <c r="Y12" s="282">
        <f t="shared" si="4"/>
        <v>14.9</v>
      </c>
      <c r="Z12" s="283">
        <f t="shared" si="5"/>
        <v>16</v>
      </c>
    </row>
    <row r="13" spans="2:26" ht="14.45" customHeight="1" x14ac:dyDescent="0.25">
      <c r="B13" s="546"/>
      <c r="C13" s="547"/>
      <c r="D13" s="547"/>
      <c r="E13" s="547"/>
      <c r="F13" s="547"/>
      <c r="G13" s="547"/>
      <c r="H13" s="547"/>
      <c r="I13" s="547"/>
      <c r="J13" s="202"/>
      <c r="K13" s="202"/>
      <c r="L13" s="202"/>
      <c r="M13" s="284" t="str">
        <f t="shared" si="8"/>
        <v/>
      </c>
      <c r="N13" s="202"/>
      <c r="O13" s="548" t="str">
        <f t="shared" si="6"/>
        <v/>
      </c>
      <c r="P13" s="549"/>
      <c r="Q13" s="222"/>
      <c r="R13" s="285" t="str">
        <f t="shared" si="7"/>
        <v/>
      </c>
      <c r="S13" s="286" t="str">
        <f t="shared" si="0"/>
        <v/>
      </c>
      <c r="T13" s="225" t="str">
        <f t="shared" si="1"/>
        <v>Please Select AC Type</v>
      </c>
      <c r="U13" s="262"/>
      <c r="V13" s="282" t="e">
        <f>IF(AND(J13=$W$2,L13&lt;$F$37),IF(H13=$V$5,$J$49,$J$37),_xlfn.XLOOKUP(H13,$W$7:$Z$7,W$13:Z$13))</f>
        <v>#N/A</v>
      </c>
      <c r="W13" s="282">
        <f t="shared" si="2"/>
        <v>15.6</v>
      </c>
      <c r="X13" s="282">
        <f t="shared" si="3"/>
        <v>14.9</v>
      </c>
      <c r="Y13" s="282">
        <f t="shared" si="4"/>
        <v>14.9</v>
      </c>
      <c r="Z13" s="283">
        <f t="shared" si="5"/>
        <v>16</v>
      </c>
    </row>
    <row r="14" spans="2:26" ht="14.45" customHeight="1" x14ac:dyDescent="0.25">
      <c r="B14" s="546"/>
      <c r="C14" s="547"/>
      <c r="D14" s="547"/>
      <c r="E14" s="547"/>
      <c r="F14" s="547"/>
      <c r="G14" s="547"/>
      <c r="H14" s="547"/>
      <c r="I14" s="547"/>
      <c r="J14" s="202"/>
      <c r="K14" s="202"/>
      <c r="L14" s="202"/>
      <c r="M14" s="284" t="str">
        <f t="shared" si="8"/>
        <v/>
      </c>
      <c r="N14" s="202"/>
      <c r="O14" s="548" t="str">
        <f t="shared" si="6"/>
        <v/>
      </c>
      <c r="P14" s="549"/>
      <c r="Q14" s="222"/>
      <c r="R14" s="285" t="str">
        <f t="shared" si="7"/>
        <v/>
      </c>
      <c r="S14" s="286" t="str">
        <f t="shared" si="0"/>
        <v/>
      </c>
      <c r="T14" s="225" t="str">
        <f t="shared" si="1"/>
        <v>Please Select AC Type</v>
      </c>
      <c r="U14" s="262"/>
      <c r="V14" s="282" t="e">
        <f>IF(AND(J14=$W$2,L14&lt;$F$37),IF(H14=$V$5,$J$49,$J$37),_xlfn.XLOOKUP(H14,$W$7:$Z$7,W$14:Z$14))</f>
        <v>#N/A</v>
      </c>
      <c r="W14" s="282">
        <f t="shared" si="2"/>
        <v>15.6</v>
      </c>
      <c r="X14" s="282">
        <f t="shared" si="3"/>
        <v>14.9</v>
      </c>
      <c r="Y14" s="282">
        <f t="shared" si="4"/>
        <v>14.9</v>
      </c>
      <c r="Z14" s="283">
        <f t="shared" si="5"/>
        <v>16</v>
      </c>
    </row>
    <row r="15" spans="2:26" ht="14.45" customHeight="1" x14ac:dyDescent="0.25">
      <c r="B15" s="546"/>
      <c r="C15" s="547"/>
      <c r="D15" s="547"/>
      <c r="E15" s="547"/>
      <c r="F15" s="547"/>
      <c r="G15" s="547"/>
      <c r="H15" s="547"/>
      <c r="I15" s="547"/>
      <c r="J15" s="202"/>
      <c r="K15" s="202"/>
      <c r="L15" s="202"/>
      <c r="M15" s="284" t="str">
        <f t="shared" si="8"/>
        <v/>
      </c>
      <c r="N15" s="202"/>
      <c r="O15" s="548" t="str">
        <f t="shared" si="6"/>
        <v/>
      </c>
      <c r="P15" s="549"/>
      <c r="Q15" s="222"/>
      <c r="R15" s="285" t="str">
        <f t="shared" si="7"/>
        <v/>
      </c>
      <c r="S15" s="286" t="str">
        <f t="shared" si="0"/>
        <v/>
      </c>
      <c r="T15" s="225" t="str">
        <f t="shared" si="1"/>
        <v>Please Select AC Type</v>
      </c>
      <c r="U15" s="262"/>
      <c r="V15" s="282" t="e">
        <f>IF(AND(J15=$W$2,L15&lt;$F$37),IF(H15=$V$5,$J$49,$J$37),_xlfn.XLOOKUP(H15,$W$7:$Z$7,W$15:Z$15))</f>
        <v>#N/A</v>
      </c>
      <c r="W15" s="282">
        <f t="shared" si="2"/>
        <v>15.6</v>
      </c>
      <c r="X15" s="282">
        <f t="shared" si="3"/>
        <v>14.9</v>
      </c>
      <c r="Y15" s="282">
        <f t="shared" si="4"/>
        <v>14.9</v>
      </c>
      <c r="Z15" s="283">
        <f t="shared" si="5"/>
        <v>16</v>
      </c>
    </row>
    <row r="16" spans="2:26" ht="14.45" customHeight="1" x14ac:dyDescent="0.25">
      <c r="B16" s="546"/>
      <c r="C16" s="547"/>
      <c r="D16" s="547"/>
      <c r="E16" s="547"/>
      <c r="F16" s="547"/>
      <c r="G16" s="547"/>
      <c r="H16" s="547"/>
      <c r="I16" s="547"/>
      <c r="J16" s="202"/>
      <c r="K16" s="202"/>
      <c r="L16" s="202"/>
      <c r="M16" s="284" t="str">
        <f t="shared" si="8"/>
        <v/>
      </c>
      <c r="N16" s="202"/>
      <c r="O16" s="548" t="str">
        <f t="shared" si="6"/>
        <v/>
      </c>
      <c r="P16" s="549"/>
      <c r="Q16" s="222"/>
      <c r="R16" s="285" t="str">
        <f t="shared" si="7"/>
        <v/>
      </c>
      <c r="S16" s="286" t="str">
        <f t="shared" si="0"/>
        <v/>
      </c>
      <c r="T16" s="225" t="str">
        <f t="shared" si="1"/>
        <v>Please Select AC Type</v>
      </c>
      <c r="U16" s="262"/>
      <c r="V16" s="282" t="e">
        <f>IF(AND(J16=$W$2,L16&lt;$F$37),IF(H16=$V$5,$J$49,$J$37),_xlfn.XLOOKUP(H16,$W$7:$Z$7,W$16:Z$16))</f>
        <v>#N/A</v>
      </c>
      <c r="W16" s="282">
        <f t="shared" si="2"/>
        <v>15.6</v>
      </c>
      <c r="X16" s="282">
        <f t="shared" si="3"/>
        <v>14.9</v>
      </c>
      <c r="Y16" s="282">
        <f t="shared" si="4"/>
        <v>14.9</v>
      </c>
      <c r="Z16" s="283">
        <f t="shared" si="5"/>
        <v>16</v>
      </c>
    </row>
    <row r="17" spans="1:26" ht="14.45" customHeight="1" x14ac:dyDescent="0.25">
      <c r="B17" s="546"/>
      <c r="C17" s="547"/>
      <c r="D17" s="547"/>
      <c r="E17" s="547"/>
      <c r="F17" s="547"/>
      <c r="G17" s="547"/>
      <c r="H17" s="547"/>
      <c r="I17" s="547"/>
      <c r="J17" s="202"/>
      <c r="K17" s="202"/>
      <c r="L17" s="202"/>
      <c r="M17" s="284" t="str">
        <f t="shared" si="8"/>
        <v/>
      </c>
      <c r="N17" s="202"/>
      <c r="O17" s="548" t="str">
        <f t="shared" si="6"/>
        <v/>
      </c>
      <c r="P17" s="549"/>
      <c r="Q17" s="222"/>
      <c r="R17" s="285" t="str">
        <f t="shared" si="7"/>
        <v/>
      </c>
      <c r="S17" s="286" t="str">
        <f t="shared" si="0"/>
        <v/>
      </c>
      <c r="T17" s="225" t="str">
        <f t="shared" si="1"/>
        <v>Please Select AC Type</v>
      </c>
      <c r="U17" s="262"/>
      <c r="V17" s="282" t="e">
        <f>IF(AND(J17=$W$2,L17&lt;$F$37),IF(H17=$V$5,$J$49,$J$37),_xlfn.XLOOKUP(H17,$W$7:$Z$7,W$17:Z$17))</f>
        <v>#N/A</v>
      </c>
      <c r="W17" s="282">
        <f t="shared" si="2"/>
        <v>15.6</v>
      </c>
      <c r="X17" s="282">
        <f t="shared" si="3"/>
        <v>14.9</v>
      </c>
      <c r="Y17" s="282">
        <f t="shared" si="4"/>
        <v>14.9</v>
      </c>
      <c r="Z17" s="283">
        <f t="shared" si="5"/>
        <v>16</v>
      </c>
    </row>
    <row r="18" spans="1:26" ht="14.45" customHeight="1" x14ac:dyDescent="0.25">
      <c r="B18" s="546"/>
      <c r="C18" s="547"/>
      <c r="D18" s="547"/>
      <c r="E18" s="547"/>
      <c r="F18" s="547"/>
      <c r="G18" s="547"/>
      <c r="H18" s="547"/>
      <c r="I18" s="547"/>
      <c r="J18" s="202"/>
      <c r="K18" s="202"/>
      <c r="L18" s="202"/>
      <c r="M18" s="284" t="str">
        <f t="shared" si="8"/>
        <v/>
      </c>
      <c r="N18" s="202"/>
      <c r="O18" s="548" t="str">
        <f t="shared" si="6"/>
        <v/>
      </c>
      <c r="P18" s="549"/>
      <c r="Q18" s="222"/>
      <c r="R18" s="285" t="str">
        <f t="shared" si="7"/>
        <v/>
      </c>
      <c r="S18" s="286" t="str">
        <f t="shared" si="0"/>
        <v/>
      </c>
      <c r="T18" s="225" t="str">
        <f t="shared" si="1"/>
        <v>Please Select AC Type</v>
      </c>
      <c r="U18" s="262"/>
      <c r="V18" s="282" t="e">
        <f>IF(AND(J18=$W$2,L18&lt;$F$37),IF(H18=$V$5,$J$49,$J$37),_xlfn.XLOOKUP(H18,$W$7:$Z$7,W$18:Z$18))</f>
        <v>#N/A</v>
      </c>
      <c r="W18" s="282">
        <f t="shared" si="2"/>
        <v>15.6</v>
      </c>
      <c r="X18" s="282">
        <f t="shared" si="3"/>
        <v>14.9</v>
      </c>
      <c r="Y18" s="282">
        <f t="shared" si="4"/>
        <v>14.9</v>
      </c>
      <c r="Z18" s="283">
        <f t="shared" si="5"/>
        <v>16</v>
      </c>
    </row>
    <row r="19" spans="1:26" ht="14.45" customHeight="1" x14ac:dyDescent="0.25">
      <c r="B19" s="546"/>
      <c r="C19" s="547"/>
      <c r="D19" s="547"/>
      <c r="E19" s="547"/>
      <c r="F19" s="547"/>
      <c r="G19" s="547"/>
      <c r="H19" s="547"/>
      <c r="I19" s="547"/>
      <c r="J19" s="202"/>
      <c r="K19" s="202"/>
      <c r="L19" s="202"/>
      <c r="M19" s="284" t="str">
        <f t="shared" si="8"/>
        <v/>
      </c>
      <c r="N19" s="202"/>
      <c r="O19" s="548" t="str">
        <f t="shared" si="6"/>
        <v/>
      </c>
      <c r="P19" s="549"/>
      <c r="Q19" s="222"/>
      <c r="R19" s="285" t="str">
        <f t="shared" si="7"/>
        <v/>
      </c>
      <c r="S19" s="286" t="str">
        <f t="shared" si="0"/>
        <v/>
      </c>
      <c r="T19" s="225" t="str">
        <f t="shared" si="1"/>
        <v>Please Select AC Type</v>
      </c>
      <c r="U19" s="262"/>
      <c r="V19" s="282" t="e">
        <f>IF(AND(J19=$W$2,L19&lt;$F$37),IF(H19=$V$5,$J$49,$J$37),_xlfn.XLOOKUP(H19,$W$7:$Z$7,W$19:Z$19))</f>
        <v>#N/A</v>
      </c>
      <c r="W19" s="282">
        <f t="shared" si="2"/>
        <v>15.6</v>
      </c>
      <c r="X19" s="282">
        <f t="shared" si="3"/>
        <v>14.9</v>
      </c>
      <c r="Y19" s="282">
        <f t="shared" si="4"/>
        <v>14.9</v>
      </c>
      <c r="Z19" s="283">
        <f t="shared" si="5"/>
        <v>16</v>
      </c>
    </row>
    <row r="20" spans="1:26" ht="14.45" customHeight="1" x14ac:dyDescent="0.25">
      <c r="B20" s="546"/>
      <c r="C20" s="547"/>
      <c r="D20" s="547"/>
      <c r="E20" s="547"/>
      <c r="F20" s="547"/>
      <c r="G20" s="547"/>
      <c r="H20" s="547"/>
      <c r="I20" s="547"/>
      <c r="J20" s="202"/>
      <c r="K20" s="202"/>
      <c r="L20" s="202"/>
      <c r="M20" s="284" t="str">
        <f t="shared" si="8"/>
        <v/>
      </c>
      <c r="N20" s="202"/>
      <c r="O20" s="548" t="str">
        <f t="shared" si="6"/>
        <v/>
      </c>
      <c r="P20" s="549"/>
      <c r="Q20" s="222"/>
      <c r="R20" s="285" t="str">
        <f t="shared" si="7"/>
        <v/>
      </c>
      <c r="S20" s="286" t="str">
        <f t="shared" si="0"/>
        <v/>
      </c>
      <c r="T20" s="225" t="str">
        <f t="shared" si="1"/>
        <v>Please Select AC Type</v>
      </c>
      <c r="U20" s="262"/>
      <c r="V20" s="282" t="e">
        <f>IF(AND(J20=$W$2,L20&lt;$F$37),IF(H20=$V$5,$J$49,$J$37),_xlfn.XLOOKUP(H20,$W$7:$Z$7,W$20:Z$20))</f>
        <v>#N/A</v>
      </c>
      <c r="W20" s="282">
        <f t="shared" si="2"/>
        <v>15.6</v>
      </c>
      <c r="X20" s="282">
        <f t="shared" si="3"/>
        <v>14.9</v>
      </c>
      <c r="Y20" s="282">
        <f t="shared" si="4"/>
        <v>14.9</v>
      </c>
      <c r="Z20" s="283">
        <f t="shared" si="5"/>
        <v>16</v>
      </c>
    </row>
    <row r="21" spans="1:26" ht="14.45" customHeight="1" thickBot="1" x14ac:dyDescent="0.3">
      <c r="B21" s="550"/>
      <c r="C21" s="551"/>
      <c r="D21" s="551"/>
      <c r="E21" s="551"/>
      <c r="F21" s="551"/>
      <c r="G21" s="551"/>
      <c r="H21" s="551"/>
      <c r="I21" s="551"/>
      <c r="J21" s="223"/>
      <c r="K21" s="223"/>
      <c r="L21" s="223"/>
      <c r="M21" s="287" t="str">
        <f t="shared" si="8"/>
        <v/>
      </c>
      <c r="N21" s="223"/>
      <c r="O21" s="552" t="str">
        <f t="shared" si="6"/>
        <v/>
      </c>
      <c r="P21" s="553"/>
      <c r="Q21" s="224"/>
      <c r="R21" s="288" t="str">
        <f t="shared" si="7"/>
        <v/>
      </c>
      <c r="S21" s="289" t="str">
        <f t="shared" si="0"/>
        <v/>
      </c>
      <c r="T21" s="226" t="str">
        <f t="shared" si="1"/>
        <v>Please Select AC Type</v>
      </c>
      <c r="U21" s="262"/>
      <c r="V21" s="282" t="e">
        <f>IF(AND(J21=$W$2,L21&lt;$F$37),IF(H21=$V$5,$J$49,$J$37),_xlfn.XLOOKUP(H21,$W$7:$Z$7,W$21:Z$21))</f>
        <v>#N/A</v>
      </c>
      <c r="W21" s="282">
        <f t="shared" si="2"/>
        <v>15.6</v>
      </c>
      <c r="X21" s="282">
        <f t="shared" si="3"/>
        <v>14.9</v>
      </c>
      <c r="Y21" s="282">
        <f t="shared" si="4"/>
        <v>14.9</v>
      </c>
      <c r="Z21" s="283">
        <f t="shared" si="5"/>
        <v>16</v>
      </c>
    </row>
    <row r="22" spans="1:26" ht="14.45" customHeight="1" thickBot="1" x14ac:dyDescent="0.3">
      <c r="B22" s="557" t="s">
        <v>47</v>
      </c>
      <c r="C22" s="558"/>
      <c r="D22" s="558"/>
      <c r="E22" s="558"/>
      <c r="F22" s="558"/>
      <c r="G22" s="558"/>
      <c r="H22" s="558"/>
      <c r="I22" s="558"/>
      <c r="J22" s="558"/>
      <c r="K22" s="558"/>
      <c r="L22" s="558"/>
      <c r="M22" s="558"/>
      <c r="N22" s="558"/>
      <c r="O22" s="558"/>
      <c r="P22" s="558"/>
      <c r="Q22" s="558"/>
      <c r="R22" s="558"/>
      <c r="S22" s="559"/>
      <c r="T22" s="193">
        <f>SUM(T9:T21)</f>
        <v>0</v>
      </c>
      <c r="U22" s="262"/>
      <c r="W22" s="1"/>
      <c r="X22" s="1"/>
      <c r="Y22" s="1"/>
    </row>
    <row r="23" spans="1:26" ht="14.45" customHeight="1" x14ac:dyDescent="0.25">
      <c r="B23" s="461" t="s">
        <v>83</v>
      </c>
      <c r="C23" s="461"/>
      <c r="D23" s="461"/>
      <c r="E23" s="461"/>
      <c r="F23" s="461"/>
      <c r="G23" s="461"/>
      <c r="H23" s="461"/>
      <c r="I23" s="461"/>
      <c r="J23" s="461"/>
      <c r="K23" s="461"/>
      <c r="L23" s="461"/>
      <c r="M23" s="461"/>
      <c r="N23" s="461"/>
      <c r="O23" s="461"/>
      <c r="P23" s="461"/>
      <c r="Q23" s="461"/>
      <c r="R23" s="461"/>
      <c r="S23" s="461"/>
      <c r="T23" s="461"/>
      <c r="U23" s="262"/>
      <c r="V23" s="262" t="s">
        <v>84</v>
      </c>
    </row>
    <row r="24" spans="1:26" ht="14.45" customHeight="1" x14ac:dyDescent="0.25">
      <c r="B24" s="290"/>
      <c r="C24" s="290"/>
      <c r="D24" s="290"/>
      <c r="E24" s="290"/>
      <c r="F24" s="290"/>
      <c r="G24" s="290"/>
      <c r="H24" s="290"/>
      <c r="I24" s="290"/>
      <c r="J24" s="290"/>
      <c r="K24" s="290"/>
      <c r="L24" s="290"/>
      <c r="M24" s="290"/>
      <c r="N24" s="290"/>
      <c r="O24" s="290"/>
      <c r="P24" s="290"/>
      <c r="Q24" s="290"/>
      <c r="R24" s="290"/>
      <c r="S24" s="290"/>
      <c r="T24" s="290"/>
      <c r="U24" s="262"/>
    </row>
    <row r="25" spans="1:26" ht="14.45" customHeight="1" x14ac:dyDescent="0.25">
      <c r="B25" s="560" t="s">
        <v>253</v>
      </c>
      <c r="C25" s="560"/>
      <c r="D25" s="560"/>
      <c r="E25" s="560"/>
      <c r="F25" s="560"/>
      <c r="G25" s="560"/>
      <c r="H25" s="560"/>
      <c r="I25" s="560"/>
      <c r="J25" s="560"/>
      <c r="K25" s="560"/>
      <c r="L25" s="560"/>
      <c r="M25" s="560"/>
      <c r="N25" s="560"/>
      <c r="O25" s="560"/>
      <c r="P25" s="560"/>
      <c r="Q25" s="560"/>
      <c r="R25" s="560"/>
      <c r="S25" s="560"/>
      <c r="T25" s="560"/>
      <c r="U25" s="262"/>
    </row>
    <row r="26" spans="1:26" ht="14.45" customHeight="1" x14ac:dyDescent="0.25">
      <c r="B26" s="291" t="s">
        <v>85</v>
      </c>
      <c r="U26" s="277"/>
    </row>
    <row r="27" spans="1:26" ht="45" customHeight="1" x14ac:dyDescent="0.25">
      <c r="B27" s="566" t="s">
        <v>86</v>
      </c>
      <c r="C27" s="566"/>
      <c r="D27" s="566"/>
      <c r="E27" s="566"/>
      <c r="F27" s="566"/>
      <c r="G27" s="566"/>
      <c r="H27" s="566"/>
      <c r="I27" s="566"/>
      <c r="J27" s="566"/>
      <c r="K27" s="566"/>
      <c r="L27" s="566"/>
      <c r="M27" s="566"/>
      <c r="N27" s="566"/>
      <c r="O27" s="566"/>
      <c r="P27" s="566"/>
      <c r="Q27" s="566"/>
      <c r="R27" s="566"/>
      <c r="S27" s="566"/>
      <c r="T27" s="566"/>
      <c r="U27" s="277"/>
    </row>
    <row r="28" spans="1:26" ht="14.45" customHeight="1" x14ac:dyDescent="0.25">
      <c r="B28" s="277"/>
      <c r="C28" s="277"/>
      <c r="D28" s="277"/>
      <c r="E28" s="277"/>
      <c r="F28" s="277"/>
      <c r="G28" s="277"/>
      <c r="H28" s="277"/>
      <c r="I28" s="277"/>
      <c r="J28" s="292"/>
      <c r="K28" s="277"/>
      <c r="L28" s="277"/>
      <c r="M28" s="277"/>
      <c r="N28" s="277"/>
      <c r="O28" s="277"/>
      <c r="P28" s="277"/>
      <c r="Q28" s="277"/>
      <c r="R28" s="277"/>
      <c r="S28" s="277"/>
      <c r="T28" s="277"/>
      <c r="U28" s="277"/>
    </row>
    <row r="29" spans="1:26" ht="14.45" customHeight="1" x14ac:dyDescent="0.25">
      <c r="B29" s="270" t="s">
        <v>87</v>
      </c>
      <c r="C29" s="293"/>
      <c r="D29" s="294"/>
      <c r="E29" s="567"/>
      <c r="F29" s="567"/>
      <c r="G29" s="567"/>
      <c r="H29" s="567"/>
      <c r="I29" s="567"/>
      <c r="J29" s="567"/>
      <c r="K29" s="567"/>
      <c r="L29" s="567"/>
      <c r="M29" s="567"/>
      <c r="N29" s="567"/>
      <c r="O29" s="567"/>
      <c r="P29" s="567"/>
      <c r="Q29" s="567"/>
      <c r="R29" s="567"/>
      <c r="S29" s="567"/>
      <c r="T29" s="567"/>
      <c r="U29" s="295"/>
    </row>
    <row r="30" spans="1:26" ht="14.45" customHeight="1" x14ac:dyDescent="0.25">
      <c r="B30" s="296" t="s">
        <v>88</v>
      </c>
      <c r="C30" s="562" t="s">
        <v>89</v>
      </c>
      <c r="D30" s="562"/>
      <c r="E30" s="562"/>
      <c r="F30" s="562"/>
      <c r="G30" s="562"/>
      <c r="H30" s="562"/>
      <c r="I30" s="562"/>
      <c r="J30" s="562"/>
      <c r="K30" s="562"/>
      <c r="L30" s="562"/>
      <c r="M30" s="562"/>
      <c r="N30" s="562"/>
      <c r="O30" s="562"/>
      <c r="P30" s="562"/>
      <c r="Q30" s="562"/>
      <c r="R30" s="562"/>
      <c r="S30" s="562"/>
      <c r="T30" s="562"/>
      <c r="U30" s="297"/>
    </row>
    <row r="31" spans="1:26" ht="14.45" customHeight="1" x14ac:dyDescent="0.25">
      <c r="B31" s="298" t="s">
        <v>90</v>
      </c>
      <c r="C31" s="562" t="s">
        <v>91</v>
      </c>
      <c r="D31" s="562"/>
      <c r="E31" s="562"/>
      <c r="F31" s="562"/>
      <c r="G31" s="562"/>
      <c r="H31" s="562"/>
      <c r="I31" s="562"/>
      <c r="J31" s="562"/>
      <c r="K31" s="562"/>
      <c r="L31" s="562"/>
      <c r="M31" s="562"/>
      <c r="N31" s="562"/>
      <c r="O31" s="562"/>
      <c r="P31" s="562"/>
      <c r="Q31" s="562"/>
      <c r="R31" s="562"/>
      <c r="S31" s="562"/>
      <c r="T31" s="562"/>
      <c r="U31" s="297"/>
    </row>
    <row r="32" spans="1:26" s="301" customFormat="1" ht="14.45" customHeight="1" x14ac:dyDescent="0.25">
      <c r="A32" s="174"/>
      <c r="B32" s="299" t="s">
        <v>92</v>
      </c>
      <c r="C32" s="563" t="s">
        <v>93</v>
      </c>
      <c r="D32" s="563"/>
      <c r="E32" s="563"/>
      <c r="F32" s="563"/>
      <c r="G32" s="563"/>
      <c r="H32" s="563"/>
      <c r="I32" s="563"/>
      <c r="J32" s="563"/>
      <c r="K32" s="563"/>
      <c r="L32" s="563"/>
      <c r="M32" s="563"/>
      <c r="N32" s="563"/>
      <c r="O32" s="563"/>
      <c r="P32" s="563"/>
      <c r="Q32" s="563"/>
      <c r="R32" s="563"/>
      <c r="S32" s="563"/>
      <c r="T32" s="563"/>
      <c r="U32" s="300"/>
    </row>
    <row r="33" spans="2:26" ht="14.45" customHeight="1" x14ac:dyDescent="0.25">
      <c r="B33" s="299" t="s">
        <v>94</v>
      </c>
      <c r="C33" s="302" t="s">
        <v>95</v>
      </c>
      <c r="D33" s="302"/>
      <c r="E33" s="302"/>
      <c r="F33" s="302"/>
      <c r="G33" s="302"/>
      <c r="H33" s="302"/>
      <c r="I33" s="302"/>
      <c r="J33" s="298"/>
      <c r="K33" s="302"/>
      <c r="L33" s="302"/>
      <c r="M33" s="302"/>
      <c r="N33" s="302"/>
      <c r="O33" s="302"/>
      <c r="P33" s="302"/>
      <c r="Q33" s="302"/>
      <c r="R33" s="302"/>
      <c r="S33" s="564"/>
      <c r="T33" s="564"/>
      <c r="U33" s="303"/>
    </row>
    <row r="34" spans="2:26" ht="14.45" customHeight="1" x14ac:dyDescent="0.25">
      <c r="B34" s="299" t="s">
        <v>96</v>
      </c>
      <c r="C34" s="302" t="s">
        <v>97</v>
      </c>
    </row>
    <row r="36" spans="2:26" ht="14.45" customHeight="1" x14ac:dyDescent="0.25">
      <c r="B36" s="304" t="s">
        <v>60</v>
      </c>
      <c r="C36" s="304" t="s">
        <v>61</v>
      </c>
      <c r="D36" s="565" t="s">
        <v>98</v>
      </c>
      <c r="E36" s="565"/>
      <c r="F36" s="565"/>
      <c r="G36" s="565"/>
      <c r="H36" s="565"/>
      <c r="I36" s="565"/>
      <c r="J36" s="304" t="s">
        <v>79</v>
      </c>
    </row>
    <row r="37" spans="2:26" ht="15" x14ac:dyDescent="0.25">
      <c r="B37" s="561" t="s">
        <v>99</v>
      </c>
      <c r="C37" s="305" t="s">
        <v>100</v>
      </c>
      <c r="D37" s="306">
        <v>0</v>
      </c>
      <c r="E37" s="251" t="s">
        <v>101</v>
      </c>
      <c r="F37" s="307">
        <v>65000</v>
      </c>
      <c r="G37" s="308">
        <f t="shared" ref="G37:G50" si="9">ROUND(D37/12000,2)</f>
        <v>0</v>
      </c>
      <c r="H37" s="251" t="s">
        <v>102</v>
      </c>
      <c r="I37" s="309">
        <f>G39</f>
        <v>5.42</v>
      </c>
      <c r="J37" s="310">
        <v>15.2</v>
      </c>
    </row>
    <row r="38" spans="2:26" ht="15" x14ac:dyDescent="0.25">
      <c r="B38" s="454"/>
      <c r="C38" s="561" t="s">
        <v>103</v>
      </c>
      <c r="D38" s="306">
        <v>0</v>
      </c>
      <c r="E38" s="251" t="s">
        <v>101</v>
      </c>
      <c r="F38" s="307">
        <v>65000</v>
      </c>
      <c r="G38" s="308">
        <f t="shared" si="9"/>
        <v>0</v>
      </c>
      <c r="H38" s="251" t="s">
        <v>102</v>
      </c>
      <c r="I38" s="309">
        <f>G39</f>
        <v>5.42</v>
      </c>
      <c r="J38" s="310">
        <v>14.7</v>
      </c>
      <c r="K38" s="262"/>
      <c r="L38" s="262"/>
    </row>
    <row r="39" spans="2:26" ht="14.45" customHeight="1" x14ac:dyDescent="0.25">
      <c r="B39" s="454"/>
      <c r="C39" s="561"/>
      <c r="D39" s="306">
        <v>65000</v>
      </c>
      <c r="E39" s="251" t="s">
        <v>101</v>
      </c>
      <c r="F39" s="307">
        <v>135000</v>
      </c>
      <c r="G39" s="308">
        <f t="shared" si="9"/>
        <v>5.42</v>
      </c>
      <c r="H39" s="251" t="s">
        <v>102</v>
      </c>
      <c r="I39" s="309">
        <f>G40</f>
        <v>11.25</v>
      </c>
      <c r="J39" s="311">
        <v>16.3</v>
      </c>
      <c r="K39" s="262"/>
      <c r="L39" s="262"/>
    </row>
    <row r="40" spans="2:26" ht="14.45" customHeight="1" x14ac:dyDescent="0.25">
      <c r="B40" s="454"/>
      <c r="C40" s="561"/>
      <c r="D40" s="306">
        <v>135000</v>
      </c>
      <c r="E40" s="251" t="s">
        <v>101</v>
      </c>
      <c r="F40" s="307">
        <v>240000</v>
      </c>
      <c r="G40" s="308">
        <f t="shared" si="9"/>
        <v>11.25</v>
      </c>
      <c r="H40" s="251" t="s">
        <v>102</v>
      </c>
      <c r="I40" s="309">
        <f>ROUND(F40/12000,2)</f>
        <v>20</v>
      </c>
      <c r="J40" s="312">
        <v>15.6</v>
      </c>
      <c r="K40" s="262"/>
      <c r="L40" s="262"/>
    </row>
    <row r="41" spans="2:26" ht="15" x14ac:dyDescent="0.25">
      <c r="B41" s="561" t="s">
        <v>104</v>
      </c>
      <c r="C41" s="305" t="s">
        <v>100</v>
      </c>
      <c r="D41" s="306">
        <v>0</v>
      </c>
      <c r="E41" s="251" t="s">
        <v>101</v>
      </c>
      <c r="F41" s="307">
        <v>65000</v>
      </c>
      <c r="G41" s="308">
        <f t="shared" si="9"/>
        <v>0</v>
      </c>
      <c r="H41" s="251" t="s">
        <v>102</v>
      </c>
      <c r="I41" s="309">
        <f>G47</f>
        <v>5.42</v>
      </c>
      <c r="J41" s="313">
        <v>15.2</v>
      </c>
      <c r="K41" s="262"/>
      <c r="L41" s="262"/>
    </row>
    <row r="42" spans="2:26" ht="15" x14ac:dyDescent="0.25">
      <c r="B42" s="561"/>
      <c r="C42" s="561" t="s">
        <v>65</v>
      </c>
      <c r="D42" s="306">
        <v>0</v>
      </c>
      <c r="E42" s="251" t="s">
        <v>101</v>
      </c>
      <c r="F42" s="307">
        <v>65000</v>
      </c>
      <c r="G42" s="308">
        <f t="shared" si="9"/>
        <v>0</v>
      </c>
      <c r="H42" s="251" t="s">
        <v>102</v>
      </c>
      <c r="I42" s="309">
        <f>G43</f>
        <v>5.42</v>
      </c>
      <c r="J42" s="313">
        <v>14.7</v>
      </c>
      <c r="K42" s="262"/>
      <c r="L42" s="262"/>
    </row>
    <row r="43" spans="2:26" ht="15" x14ac:dyDescent="0.25">
      <c r="B43" s="561"/>
      <c r="C43" s="561"/>
      <c r="D43" s="306">
        <v>65000</v>
      </c>
      <c r="E43" s="251" t="s">
        <v>101</v>
      </c>
      <c r="F43" s="307">
        <v>135000</v>
      </c>
      <c r="G43" s="308">
        <f t="shared" si="9"/>
        <v>5.42</v>
      </c>
      <c r="H43" s="251" t="s">
        <v>102</v>
      </c>
      <c r="I43" s="309">
        <f>G44</f>
        <v>11.25</v>
      </c>
      <c r="J43" s="312">
        <v>15.5</v>
      </c>
      <c r="K43" s="262"/>
      <c r="L43" s="262"/>
    </row>
    <row r="44" spans="2:26" s="11" customFormat="1" ht="14.45" customHeight="1" x14ac:dyDescent="0.25">
      <c r="B44" s="561"/>
      <c r="C44" s="561"/>
      <c r="D44" s="306">
        <v>135000</v>
      </c>
      <c r="E44" s="251" t="s">
        <v>101</v>
      </c>
      <c r="F44" s="307">
        <v>240000</v>
      </c>
      <c r="G44" s="308">
        <f t="shared" si="9"/>
        <v>11.25</v>
      </c>
      <c r="H44" s="251" t="s">
        <v>102</v>
      </c>
      <c r="I44" s="309">
        <f>ROUND(F44/12000,2)</f>
        <v>20</v>
      </c>
      <c r="J44" s="312">
        <v>14.9</v>
      </c>
      <c r="K44" s="262"/>
      <c r="L44" s="262"/>
      <c r="V44" s="262"/>
      <c r="W44" s="262"/>
      <c r="X44" s="262"/>
      <c r="Y44" s="262"/>
      <c r="Z44" s="262"/>
    </row>
    <row r="45" spans="2:26" s="11" customFormat="1" ht="14.45" customHeight="1" x14ac:dyDescent="0.25">
      <c r="B45" s="561" t="s">
        <v>105</v>
      </c>
      <c r="C45" s="305" t="s">
        <v>100</v>
      </c>
      <c r="D45" s="306">
        <v>0</v>
      </c>
      <c r="E45" s="251" t="s">
        <v>101</v>
      </c>
      <c r="F45" s="307">
        <v>65000</v>
      </c>
      <c r="G45" s="308">
        <f t="shared" si="9"/>
        <v>0</v>
      </c>
      <c r="H45" s="251" t="s">
        <v>102</v>
      </c>
      <c r="I45" s="309">
        <f>G47</f>
        <v>5.42</v>
      </c>
      <c r="J45" s="313">
        <v>15.2</v>
      </c>
      <c r="K45" s="262"/>
      <c r="L45" s="262"/>
      <c r="V45" s="262"/>
      <c r="W45" s="262"/>
      <c r="X45" s="262"/>
      <c r="Y45" s="262"/>
      <c r="Z45" s="262"/>
    </row>
    <row r="46" spans="2:26" s="11" customFormat="1" ht="14.45" customHeight="1" x14ac:dyDescent="0.25">
      <c r="B46" s="561"/>
      <c r="C46" s="561" t="s">
        <v>103</v>
      </c>
      <c r="D46" s="306">
        <v>0</v>
      </c>
      <c r="E46" s="251" t="s">
        <v>101</v>
      </c>
      <c r="F46" s="307">
        <v>65000</v>
      </c>
      <c r="G46" s="308">
        <f t="shared" si="9"/>
        <v>0</v>
      </c>
      <c r="H46" s="251" t="s">
        <v>102</v>
      </c>
      <c r="I46" s="309">
        <f>G47</f>
        <v>5.42</v>
      </c>
      <c r="J46" s="313">
        <v>15.7</v>
      </c>
      <c r="K46" s="262"/>
      <c r="L46" s="262"/>
      <c r="V46" s="262"/>
      <c r="W46" s="262"/>
      <c r="X46" s="262"/>
      <c r="Y46" s="262"/>
      <c r="Z46" s="262"/>
    </row>
    <row r="47" spans="2:26" s="11" customFormat="1" ht="14.45" customHeight="1" x14ac:dyDescent="0.25">
      <c r="B47" s="561"/>
      <c r="C47" s="561"/>
      <c r="D47" s="306">
        <v>65000</v>
      </c>
      <c r="E47" s="251" t="s">
        <v>101</v>
      </c>
      <c r="F47" s="307">
        <v>135000</v>
      </c>
      <c r="G47" s="308">
        <f t="shared" si="9"/>
        <v>5.42</v>
      </c>
      <c r="H47" s="251" t="s">
        <v>102</v>
      </c>
      <c r="I47" s="309">
        <f>G48</f>
        <v>11.25</v>
      </c>
      <c r="J47" s="312">
        <v>15.5</v>
      </c>
      <c r="K47" s="262"/>
      <c r="L47" s="262"/>
      <c r="V47" s="262"/>
      <c r="W47" s="262"/>
      <c r="X47" s="262"/>
      <c r="Y47" s="262"/>
      <c r="Z47" s="262"/>
    </row>
    <row r="48" spans="2:26" s="11" customFormat="1" ht="14.45" customHeight="1" x14ac:dyDescent="0.25">
      <c r="B48" s="561"/>
      <c r="C48" s="561"/>
      <c r="D48" s="306">
        <v>135000</v>
      </c>
      <c r="E48" s="251" t="s">
        <v>101</v>
      </c>
      <c r="F48" s="307">
        <v>240000</v>
      </c>
      <c r="G48" s="308">
        <f t="shared" si="9"/>
        <v>11.25</v>
      </c>
      <c r="H48" s="251" t="s">
        <v>102</v>
      </c>
      <c r="I48" s="309">
        <f>ROUND(F48/12000,2)</f>
        <v>20</v>
      </c>
      <c r="J48" s="312">
        <v>14.9</v>
      </c>
      <c r="K48" s="262"/>
      <c r="L48" s="262"/>
      <c r="V48" s="262"/>
      <c r="W48" s="262"/>
      <c r="X48" s="262"/>
      <c r="Y48" s="262"/>
      <c r="Z48" s="262"/>
    </row>
    <row r="49" spans="2:26" s="11" customFormat="1" ht="14.45" customHeight="1" x14ac:dyDescent="0.25">
      <c r="B49" s="561" t="s">
        <v>106</v>
      </c>
      <c r="C49" s="561" t="s">
        <v>107</v>
      </c>
      <c r="D49" s="306">
        <v>0</v>
      </c>
      <c r="E49" s="251" t="s">
        <v>101</v>
      </c>
      <c r="F49" s="307">
        <v>65000</v>
      </c>
      <c r="G49" s="308">
        <f t="shared" si="9"/>
        <v>0</v>
      </c>
      <c r="H49" s="251" t="s">
        <v>102</v>
      </c>
      <c r="I49" s="309">
        <f>G50</f>
        <v>5.42</v>
      </c>
      <c r="J49" s="314">
        <v>16</v>
      </c>
      <c r="K49" s="262"/>
      <c r="L49" s="262"/>
      <c r="V49" s="262"/>
      <c r="W49" s="262"/>
      <c r="X49" s="262"/>
      <c r="Y49" s="262"/>
      <c r="Z49" s="262"/>
    </row>
    <row r="50" spans="2:26" s="11" customFormat="1" ht="18.600000000000001" customHeight="1" x14ac:dyDescent="0.25">
      <c r="B50" s="561"/>
      <c r="C50" s="561"/>
      <c r="D50" s="306">
        <v>65000</v>
      </c>
      <c r="E50" s="251" t="s">
        <v>101</v>
      </c>
      <c r="F50" s="307">
        <v>135000</v>
      </c>
      <c r="G50" s="308">
        <f t="shared" si="9"/>
        <v>5.42</v>
      </c>
      <c r="H50" s="251" t="s">
        <v>102</v>
      </c>
      <c r="I50" s="309">
        <f>ROUND(F50/12000,2)</f>
        <v>11.25</v>
      </c>
      <c r="J50" s="311">
        <v>16</v>
      </c>
      <c r="K50" s="262"/>
      <c r="L50" s="262"/>
      <c r="V50" s="262"/>
      <c r="W50" s="262"/>
      <c r="X50" s="262"/>
      <c r="Y50" s="262"/>
      <c r="Z50" s="262"/>
    </row>
    <row r="51" spans="2:26" s="11" customFormat="1" ht="14.45" customHeight="1" x14ac:dyDescent="0.25">
      <c r="B51" s="554" t="s">
        <v>108</v>
      </c>
      <c r="C51" s="554"/>
      <c r="D51" s="554"/>
      <c r="E51" s="554"/>
      <c r="F51" s="554"/>
      <c r="G51" s="554"/>
      <c r="H51" s="554"/>
      <c r="I51" s="554"/>
      <c r="J51" s="247">
        <v>250</v>
      </c>
      <c r="K51" s="262"/>
      <c r="L51" s="262"/>
      <c r="V51" s="262"/>
      <c r="W51" s="262"/>
      <c r="X51" s="262"/>
      <c r="Y51" s="262"/>
      <c r="Z51" s="262"/>
    </row>
    <row r="54" spans="2:26" s="11" customFormat="1" ht="45" customHeight="1" x14ac:dyDescent="0.25">
      <c r="J54" s="252"/>
      <c r="V54" s="262"/>
      <c r="W54" s="262"/>
      <c r="X54" s="262"/>
      <c r="Y54" s="262"/>
      <c r="Z54" s="262"/>
    </row>
  </sheetData>
  <sheetProtection algorithmName="SHA-512" hashValue="PMjbXEcH4VOioo9ucTDWfnEWh0LNuRdyVM8Oz/sB2smf78ynAXfcmFaF825Wj4pNmn0BMrPZGuL7asgM7qdOMQ==" saltValue="5ZLXl8Z+tKA5ICTmXnQrrg==" spinCount="100000" sheet="1" selectLockedCells="1"/>
  <mergeCells count="106">
    <mergeCell ref="B51:I51"/>
    <mergeCell ref="D1:T1"/>
    <mergeCell ref="B1:C1"/>
    <mergeCell ref="D3:E3"/>
    <mergeCell ref="B22:S22"/>
    <mergeCell ref="B25:T25"/>
    <mergeCell ref="B41:B44"/>
    <mergeCell ref="C42:C44"/>
    <mergeCell ref="B45:B48"/>
    <mergeCell ref="C46:C48"/>
    <mergeCell ref="B49:B50"/>
    <mergeCell ref="C49:C50"/>
    <mergeCell ref="C31:T31"/>
    <mergeCell ref="C32:T32"/>
    <mergeCell ref="S33:T33"/>
    <mergeCell ref="D36:I36"/>
    <mergeCell ref="B37:B40"/>
    <mergeCell ref="C38:C40"/>
    <mergeCell ref="B23:T23"/>
    <mergeCell ref="B27:T27"/>
    <mergeCell ref="E29:T29"/>
    <mergeCell ref="C30:T30"/>
    <mergeCell ref="B20:C20"/>
    <mergeCell ref="D20:E20"/>
    <mergeCell ref="F20:G20"/>
    <mergeCell ref="H20:I20"/>
    <mergeCell ref="O20:P20"/>
    <mergeCell ref="B21:C21"/>
    <mergeCell ref="D21:E21"/>
    <mergeCell ref="F21:G21"/>
    <mergeCell ref="H21:I21"/>
    <mergeCell ref="O21:P21"/>
    <mergeCell ref="B18:C18"/>
    <mergeCell ref="D18:E18"/>
    <mergeCell ref="F18:G18"/>
    <mergeCell ref="H18:I18"/>
    <mergeCell ref="O18:P18"/>
    <mergeCell ref="B19:C19"/>
    <mergeCell ref="D19:E19"/>
    <mergeCell ref="F19:G19"/>
    <mergeCell ref="H19:I19"/>
    <mergeCell ref="O19:P19"/>
    <mergeCell ref="B16:C16"/>
    <mergeCell ref="D16:E16"/>
    <mergeCell ref="F16:G16"/>
    <mergeCell ref="H16:I16"/>
    <mergeCell ref="O16:P16"/>
    <mergeCell ref="B17:C17"/>
    <mergeCell ref="D17:E17"/>
    <mergeCell ref="F17:G17"/>
    <mergeCell ref="H17:I17"/>
    <mergeCell ref="O17:P17"/>
    <mergeCell ref="B14:C14"/>
    <mergeCell ref="D14:E14"/>
    <mergeCell ref="F14:G14"/>
    <mergeCell ref="H14:I14"/>
    <mergeCell ref="O14:P14"/>
    <mergeCell ref="B15:C15"/>
    <mergeCell ref="D15:E15"/>
    <mergeCell ref="F15:G15"/>
    <mergeCell ref="H15:I15"/>
    <mergeCell ref="O15:P15"/>
    <mergeCell ref="B12:C12"/>
    <mergeCell ref="D12:E12"/>
    <mergeCell ref="F12:G12"/>
    <mergeCell ref="H12:I12"/>
    <mergeCell ref="O12:P12"/>
    <mergeCell ref="B13:C13"/>
    <mergeCell ref="D13:E13"/>
    <mergeCell ref="F13:G13"/>
    <mergeCell ref="H13:I13"/>
    <mergeCell ref="O13:P13"/>
    <mergeCell ref="B10:C10"/>
    <mergeCell ref="D10:E10"/>
    <mergeCell ref="F10:G10"/>
    <mergeCell ref="H10:I10"/>
    <mergeCell ref="O10:P10"/>
    <mergeCell ref="B11:C11"/>
    <mergeCell ref="D11:E11"/>
    <mergeCell ref="F11:G11"/>
    <mergeCell ref="H11:I11"/>
    <mergeCell ref="O11:P11"/>
    <mergeCell ref="B8:C8"/>
    <mergeCell ref="D8:E8"/>
    <mergeCell ref="F8:G8"/>
    <mergeCell ref="H8:I8"/>
    <mergeCell ref="O8:P8"/>
    <mergeCell ref="B9:C9"/>
    <mergeCell ref="D9:E9"/>
    <mergeCell ref="F9:G9"/>
    <mergeCell ref="H9:I9"/>
    <mergeCell ref="O9:P9"/>
    <mergeCell ref="B4:H4"/>
    <mergeCell ref="M6:M7"/>
    <mergeCell ref="N6:P7"/>
    <mergeCell ref="Q6:R7"/>
    <mergeCell ref="S6:S7"/>
    <mergeCell ref="T6:T7"/>
    <mergeCell ref="D7:E7"/>
    <mergeCell ref="F7:G7"/>
    <mergeCell ref="B6:C7"/>
    <mergeCell ref="D6:G6"/>
    <mergeCell ref="H6:I7"/>
    <mergeCell ref="J6:J7"/>
    <mergeCell ref="K6:K7"/>
    <mergeCell ref="L6:L7"/>
  </mergeCells>
  <conditionalFormatting sqref="S8">
    <cfRule type="containsText" dxfId="15" priority="2" operator="containsText" text="Select Installation Type">
      <formula>NOT(ISERROR(SEARCH("Select Installation Type",S8)))</formula>
    </cfRule>
  </conditionalFormatting>
  <conditionalFormatting sqref="T9:T21">
    <cfRule type="containsText" dxfId="14" priority="1" operator="containsText" text="Select Installation Type">
      <formula>NOT(ISERROR(SEARCH("Select Installation Type",T9)))</formula>
    </cfRule>
  </conditionalFormatting>
  <dataValidations count="4">
    <dataValidation allowBlank="1" showInputMessage="1" showErrorMessage="1" promptTitle="Note" prompt="Units less than 65,000 BTU/hr do not require an EER value" sqref="N9:N21" xr:uid="{989452D2-E0A1-43E1-B5E3-F9C8B4A4823D}"/>
    <dataValidation allowBlank="1" showErrorMessage="1" promptTitle="Note" prompt="Enter the rated capacity of the unit._x000a__x000a_Example:_x000a_3 ton unit ‘as advertised’, but it’s rated capacity is 2.83 tons" sqref="M9:M21" xr:uid="{AD4E187D-48AF-46A0-BB58-0423203AF5F4}"/>
    <dataValidation type="list" allowBlank="1" showInputMessage="1" showErrorMessage="1" sqref="J8:J21" xr:uid="{588E88BB-57BA-4398-BDD5-F861A7D5F873}">
      <formula1>$W$2:$W$3</formula1>
    </dataValidation>
    <dataValidation type="list" allowBlank="1" showInputMessage="1" showErrorMessage="1" sqref="H8:I21" xr:uid="{CE1C7FB3-F3D5-4BF2-B9EC-7EFB8C5BDB48}">
      <formula1>$V$2:$V$5</formula1>
    </dataValidation>
  </dataValidations>
  <pageMargins left="0.25" right="0.25" top="0.75" bottom="0.7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76200</xdr:colOff>
                    <xdr:row>2</xdr:row>
                    <xdr:rowOff>0</xdr:rowOff>
                  </from>
                  <to>
                    <xdr:col>8</xdr:col>
                    <xdr:colOff>247650</xdr:colOff>
                    <xdr:row>2</xdr:row>
                    <xdr:rowOff>171450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76200</xdr:colOff>
                    <xdr:row>3</xdr:row>
                    <xdr:rowOff>0</xdr:rowOff>
                  </from>
                  <to>
                    <xdr:col>8</xdr:col>
                    <xdr:colOff>247650</xdr:colOff>
                    <xdr:row>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C054674-35B3-4419-B935-5C4135145183}">
          <x14:formula1>
            <xm:f>AC_HP_EFLH_CF!$A$7:$A$15</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1A92-F657-4CD8-9AE4-5BE165AF5835}">
  <sheetPr>
    <pageSetUpPr fitToPage="1"/>
  </sheetPr>
  <dimension ref="B1:I19"/>
  <sheetViews>
    <sheetView showGridLines="0" workbookViewId="0">
      <selection activeCell="C3" sqref="C3"/>
    </sheetView>
  </sheetViews>
  <sheetFormatPr defaultColWidth="8.85546875" defaultRowHeight="15" x14ac:dyDescent="0.25"/>
  <cols>
    <col min="1" max="1" width="2.7109375" style="172" customWidth="1"/>
    <col min="2" max="2" width="43.42578125" style="172" customWidth="1"/>
    <col min="3" max="3" width="30.7109375" style="172" customWidth="1"/>
    <col min="4" max="5" width="10.7109375" style="172" customWidth="1"/>
    <col min="6" max="6" width="30.7109375" style="172" customWidth="1"/>
    <col min="7" max="7" width="2.7109375" style="172" customWidth="1"/>
    <col min="8" max="8" width="16.85546875" style="172" hidden="1" customWidth="1"/>
    <col min="9" max="16384" width="8.85546875" style="172"/>
  </cols>
  <sheetData>
    <row r="1" spans="2:8" ht="54" customHeight="1" thickBot="1" x14ac:dyDescent="0.3">
      <c r="B1" s="253"/>
      <c r="C1" s="493" t="s">
        <v>306</v>
      </c>
      <c r="D1" s="570"/>
      <c r="E1" s="570"/>
      <c r="F1" s="571"/>
    </row>
    <row r="2" spans="2:8" ht="15" customHeight="1" x14ac:dyDescent="0.25"/>
    <row r="3" spans="2:8" x14ac:dyDescent="0.25">
      <c r="B3" s="252" t="s">
        <v>281</v>
      </c>
      <c r="C3" s="170"/>
    </row>
    <row r="4" spans="2:8" ht="15" customHeight="1" x14ac:dyDescent="0.25"/>
    <row r="5" spans="2:8" ht="15" customHeight="1" x14ac:dyDescent="0.25">
      <c r="B5" s="176" t="s">
        <v>284</v>
      </c>
      <c r="C5" s="572" t="s">
        <v>15</v>
      </c>
      <c r="D5" s="572"/>
      <c r="E5" s="572" t="s">
        <v>285</v>
      </c>
      <c r="F5" s="572"/>
      <c r="H5" s="254" t="s">
        <v>280</v>
      </c>
    </row>
    <row r="6" spans="2:8" ht="20.100000000000001" customHeight="1" x14ac:dyDescent="0.25">
      <c r="B6" s="183"/>
      <c r="C6" s="573"/>
      <c r="D6" s="573"/>
      <c r="E6" s="573"/>
      <c r="F6" s="573"/>
      <c r="H6" s="255" t="s">
        <v>282</v>
      </c>
    </row>
    <row r="7" spans="2:8" ht="20.100000000000001" customHeight="1" thickBot="1" x14ac:dyDescent="0.3">
      <c r="B7" s="256"/>
      <c r="C7" s="568" t="s">
        <v>286</v>
      </c>
      <c r="D7" s="568"/>
      <c r="E7" s="569">
        <v>200</v>
      </c>
      <c r="F7" s="569"/>
      <c r="H7" s="257" t="s">
        <v>283</v>
      </c>
    </row>
    <row r="8" spans="2:8" ht="20.100000000000001" customHeight="1" thickBot="1" x14ac:dyDescent="0.3">
      <c r="B8" s="256"/>
      <c r="C8" s="575" t="s">
        <v>47</v>
      </c>
      <c r="D8" s="576"/>
      <c r="E8" s="577">
        <f>E6*E7</f>
        <v>0</v>
      </c>
      <c r="F8" s="578"/>
    </row>
    <row r="9" spans="2:8" ht="15" customHeight="1" x14ac:dyDescent="0.25">
      <c r="B9" s="256"/>
      <c r="C9" s="258"/>
      <c r="D9" s="258"/>
      <c r="E9" s="579"/>
      <c r="F9" s="579"/>
    </row>
    <row r="10" spans="2:8" ht="20.100000000000001" customHeight="1" x14ac:dyDescent="0.25">
      <c r="B10" s="256"/>
      <c r="C10" s="580" t="s">
        <v>287</v>
      </c>
      <c r="D10" s="580"/>
      <c r="E10" s="581"/>
      <c r="F10" s="581"/>
    </row>
    <row r="11" spans="2:8" ht="20.100000000000001" customHeight="1" x14ac:dyDescent="0.25">
      <c r="B11" s="259"/>
      <c r="C11" s="580" t="s">
        <v>288</v>
      </c>
      <c r="D11" s="580"/>
      <c r="E11" s="582" t="str">
        <f>IFERROR(E8/E10, "")</f>
        <v/>
      </c>
      <c r="F11" s="582"/>
    </row>
    <row r="12" spans="2:8" ht="15" customHeight="1" x14ac:dyDescent="0.25"/>
    <row r="13" spans="2:8" ht="15" customHeight="1" x14ac:dyDescent="0.25"/>
    <row r="14" spans="2:8" ht="15" customHeight="1" x14ac:dyDescent="0.25">
      <c r="B14" s="560" t="s">
        <v>253</v>
      </c>
      <c r="C14" s="560"/>
      <c r="D14" s="560"/>
      <c r="E14" s="560"/>
      <c r="F14" s="560"/>
    </row>
    <row r="15" spans="2:8" x14ac:dyDescent="0.25">
      <c r="B15" s="574" t="s">
        <v>289</v>
      </c>
      <c r="C15" s="574"/>
      <c r="D15" s="574"/>
      <c r="E15" s="574"/>
      <c r="F15" s="574"/>
    </row>
    <row r="16" spans="2:8" ht="30" customHeight="1" x14ac:dyDescent="0.25">
      <c r="B16" s="574" t="s">
        <v>290</v>
      </c>
      <c r="C16" s="574"/>
      <c r="D16" s="574"/>
      <c r="E16" s="574"/>
      <c r="F16" s="574"/>
    </row>
    <row r="17" spans="2:9" ht="15" customHeight="1" x14ac:dyDescent="0.25">
      <c r="B17" s="574" t="s">
        <v>291</v>
      </c>
      <c r="C17" s="574"/>
      <c r="D17" s="574"/>
      <c r="E17" s="574"/>
      <c r="F17" s="574"/>
    </row>
    <row r="18" spans="2:9" ht="15" customHeight="1" x14ac:dyDescent="0.25">
      <c r="B18" s="574" t="s">
        <v>292</v>
      </c>
      <c r="C18" s="574"/>
      <c r="D18" s="574"/>
      <c r="E18" s="574"/>
      <c r="F18" s="574"/>
    </row>
    <row r="19" spans="2:9" ht="26.25" customHeight="1" x14ac:dyDescent="0.25">
      <c r="B19" s="574" t="s">
        <v>293</v>
      </c>
      <c r="C19" s="574"/>
      <c r="D19" s="574"/>
      <c r="E19" s="574"/>
      <c r="F19" s="574"/>
      <c r="I19" s="179"/>
    </row>
  </sheetData>
  <sheetProtection algorithmName="SHA-512" hashValue="4X08I+R3yoGljY5C5wkIL5dvA53qL8hKGscZo4TUOcqCtee4j6s8KUqqeY1HXRPm9gOJlbCe4vC7IIhZqgSKsg==" saltValue="vbSNixaAaeAHqrQilTtwoQ==" spinCount="100000" sheet="1" objects="1" scenarios="1" selectLockedCells="1"/>
  <mergeCells count="20">
    <mergeCell ref="B19:F19"/>
    <mergeCell ref="C8:D8"/>
    <mergeCell ref="E8:F8"/>
    <mergeCell ref="E9:F9"/>
    <mergeCell ref="C10:D10"/>
    <mergeCell ref="E10:F10"/>
    <mergeCell ref="C11:D11"/>
    <mergeCell ref="E11:F11"/>
    <mergeCell ref="B14:F14"/>
    <mergeCell ref="B15:F15"/>
    <mergeCell ref="B16:F16"/>
    <mergeCell ref="B17:F17"/>
    <mergeCell ref="B18:F18"/>
    <mergeCell ref="C7:D7"/>
    <mergeCell ref="E7:F7"/>
    <mergeCell ref="C1:F1"/>
    <mergeCell ref="C5:D5"/>
    <mergeCell ref="E5:F5"/>
    <mergeCell ref="C6:D6"/>
    <mergeCell ref="E6:F6"/>
  </mergeCells>
  <dataValidations count="1">
    <dataValidation type="list" allowBlank="1" showInputMessage="1" showErrorMessage="1" sqref="C3" xr:uid="{88779CF7-6D77-4308-B3DC-241852542592}">
      <formula1>$H$6:$H$7</formula1>
    </dataValidation>
  </dataValidations>
  <pageMargins left="0.7" right="0.7" top="0.75" bottom="0.75" header="0.3" footer="0.3"/>
  <pageSetup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03F5-EB8D-40DC-9A5D-F78AB3562B15}">
  <sheetPr>
    <pageSetUpPr fitToPage="1"/>
  </sheetPr>
  <dimension ref="B1:R38"/>
  <sheetViews>
    <sheetView showGridLines="0" zoomScaleNormal="100" workbookViewId="0">
      <selection activeCell="D3" sqref="D3:E3"/>
    </sheetView>
  </sheetViews>
  <sheetFormatPr defaultColWidth="8.85546875" defaultRowHeight="15" x14ac:dyDescent="0.25"/>
  <cols>
    <col min="1" max="1" width="2.7109375" style="172" customWidth="1"/>
    <col min="2" max="2" width="23.5703125" style="172" bestFit="1" customWidth="1"/>
    <col min="3" max="3" width="19.85546875" style="172" customWidth="1"/>
    <col min="4" max="4" width="15.5703125" style="172" bestFit="1" customWidth="1"/>
    <col min="5" max="5" width="17.42578125" style="172" bestFit="1" customWidth="1"/>
    <col min="6" max="6" width="23.5703125" style="172" customWidth="1"/>
    <col min="7" max="8" width="11.140625" style="172" customWidth="1"/>
    <col min="9" max="9" width="11.85546875" style="172" bestFit="1" customWidth="1"/>
    <col min="10" max="10" width="11.140625" style="172" customWidth="1"/>
    <col min="11" max="11" width="17.85546875" style="172" bestFit="1" customWidth="1"/>
    <col min="12" max="12" width="2.7109375" style="171" customWidth="1"/>
    <col min="13" max="13" width="25" style="172" hidden="1" customWidth="1"/>
    <col min="14" max="14" width="16.140625" style="172" hidden="1" customWidth="1"/>
    <col min="15" max="15" width="2.7109375" style="172" hidden="1" customWidth="1"/>
    <col min="16" max="16" width="20.28515625" style="172" hidden="1" customWidth="1"/>
    <col min="17" max="17" width="2.7109375" style="172" hidden="1" customWidth="1"/>
    <col min="18" max="18" width="22.42578125" style="172" hidden="1" customWidth="1"/>
    <col min="19" max="16384" width="8.85546875" style="172"/>
  </cols>
  <sheetData>
    <row r="1" spans="2:18" ht="54" customHeight="1" thickBot="1" x14ac:dyDescent="0.3">
      <c r="B1" s="585"/>
      <c r="C1" s="586"/>
      <c r="D1" s="492" t="s">
        <v>307</v>
      </c>
      <c r="E1" s="493"/>
      <c r="F1" s="493"/>
      <c r="G1" s="493"/>
      <c r="H1" s="493"/>
      <c r="I1" s="493"/>
      <c r="J1" s="493"/>
      <c r="K1" s="494"/>
    </row>
    <row r="3" spans="2:18" x14ac:dyDescent="0.25">
      <c r="B3" s="192"/>
      <c r="C3" s="252" t="s">
        <v>59</v>
      </c>
      <c r="D3" s="495"/>
      <c r="E3" s="495"/>
      <c r="G3" s="173"/>
      <c r="H3" s="173"/>
      <c r="I3" s="173"/>
      <c r="J3" s="173"/>
      <c r="K3" s="174"/>
    </row>
    <row r="4" spans="2:18" ht="15.75" thickBot="1" x14ac:dyDescent="0.3"/>
    <row r="5" spans="2:18" ht="45" x14ac:dyDescent="0.25">
      <c r="B5" s="227" t="s">
        <v>243</v>
      </c>
      <c r="C5" s="228" t="s">
        <v>271</v>
      </c>
      <c r="D5" s="228" t="s">
        <v>244</v>
      </c>
      <c r="E5" s="228" t="s">
        <v>245</v>
      </c>
      <c r="F5" s="228" t="s">
        <v>246</v>
      </c>
      <c r="G5" s="229" t="s">
        <v>248</v>
      </c>
      <c r="H5" s="229" t="s">
        <v>247</v>
      </c>
      <c r="I5" s="229" t="s">
        <v>277</v>
      </c>
      <c r="J5" s="229" t="s">
        <v>276</v>
      </c>
      <c r="K5" s="230" t="s">
        <v>278</v>
      </c>
      <c r="L5" s="172"/>
      <c r="M5" s="175" t="s">
        <v>271</v>
      </c>
      <c r="N5" s="175" t="s">
        <v>279</v>
      </c>
      <c r="P5" s="176" t="s">
        <v>272</v>
      </c>
      <c r="R5" s="176" t="s">
        <v>273</v>
      </c>
    </row>
    <row r="6" spans="2:18" ht="24" customHeight="1" x14ac:dyDescent="0.25">
      <c r="B6" s="231" t="s">
        <v>250</v>
      </c>
      <c r="C6" s="232" t="s">
        <v>270</v>
      </c>
      <c r="D6" s="232" t="s">
        <v>241</v>
      </c>
      <c r="E6" s="232">
        <v>4000</v>
      </c>
      <c r="F6" s="232" t="s">
        <v>251</v>
      </c>
      <c r="G6" s="233">
        <v>30</v>
      </c>
      <c r="H6" s="233">
        <v>0.92</v>
      </c>
      <c r="I6" s="233">
        <v>2</v>
      </c>
      <c r="J6" s="234">
        <f t="shared" ref="J6:J15" si="0">_xlfn.IFNA(INDEX($N$6:$N$7, MATCH(C6, $M$6:$M$7, 0)), "")</f>
        <v>80</v>
      </c>
      <c r="K6" s="235">
        <f>IFERROR(IF(I6&gt;200, "Custom Project: Contact Hawaii Energy", G6*I6*J6), "")</f>
        <v>4800</v>
      </c>
      <c r="L6" s="172"/>
      <c r="M6" s="177" t="s">
        <v>269</v>
      </c>
      <c r="N6" s="177">
        <v>50</v>
      </c>
      <c r="P6" s="178" t="s">
        <v>241</v>
      </c>
      <c r="R6" s="178" t="s">
        <v>241</v>
      </c>
    </row>
    <row r="7" spans="2:18" ht="24" customHeight="1" x14ac:dyDescent="0.25">
      <c r="B7" s="236"/>
      <c r="C7" s="237"/>
      <c r="D7" s="237"/>
      <c r="E7" s="238"/>
      <c r="F7" s="237"/>
      <c r="G7" s="239"/>
      <c r="H7" s="239"/>
      <c r="I7" s="239"/>
      <c r="J7" s="240" t="str">
        <f t="shared" si="0"/>
        <v/>
      </c>
      <c r="K7" s="241" t="str">
        <f t="shared" ref="K7:K15" si="1">IFERROR(IF(I7&gt;200, "Custom Project: Contact Hawaii Energy", G7*I7*J7), "")</f>
        <v/>
      </c>
      <c r="L7" s="172"/>
      <c r="M7" s="177" t="s">
        <v>270</v>
      </c>
      <c r="N7" s="177">
        <v>80</v>
      </c>
      <c r="P7" s="178" t="s">
        <v>242</v>
      </c>
      <c r="R7" s="178" t="s">
        <v>274</v>
      </c>
    </row>
    <row r="8" spans="2:18" ht="24" customHeight="1" x14ac:dyDescent="0.25">
      <c r="B8" s="236"/>
      <c r="C8" s="237"/>
      <c r="D8" s="237"/>
      <c r="E8" s="238"/>
      <c r="F8" s="237"/>
      <c r="G8" s="239"/>
      <c r="H8" s="239"/>
      <c r="I8" s="239"/>
      <c r="J8" s="240" t="str">
        <f t="shared" si="0"/>
        <v/>
      </c>
      <c r="K8" s="241" t="str">
        <f t="shared" si="1"/>
        <v/>
      </c>
      <c r="L8" s="172"/>
      <c r="P8" s="178" t="s">
        <v>249</v>
      </c>
      <c r="R8" s="178" t="s">
        <v>275</v>
      </c>
    </row>
    <row r="9" spans="2:18" ht="24" customHeight="1" x14ac:dyDescent="0.25">
      <c r="B9" s="236"/>
      <c r="C9" s="237"/>
      <c r="D9" s="237"/>
      <c r="E9" s="238"/>
      <c r="F9" s="237"/>
      <c r="G9" s="239"/>
      <c r="H9" s="239"/>
      <c r="I9" s="239"/>
      <c r="J9" s="240" t="str">
        <f t="shared" si="0"/>
        <v/>
      </c>
      <c r="K9" s="241" t="str">
        <f t="shared" si="1"/>
        <v/>
      </c>
      <c r="L9" s="172"/>
      <c r="P9" s="178" t="s">
        <v>252</v>
      </c>
    </row>
    <row r="10" spans="2:18" ht="24" customHeight="1" x14ac:dyDescent="0.25">
      <c r="B10" s="236"/>
      <c r="C10" s="237"/>
      <c r="D10" s="237"/>
      <c r="E10" s="238"/>
      <c r="F10" s="237"/>
      <c r="G10" s="239"/>
      <c r="H10" s="239"/>
      <c r="I10" s="239"/>
      <c r="J10" s="240" t="str">
        <f t="shared" si="0"/>
        <v/>
      </c>
      <c r="K10" s="241" t="str">
        <f t="shared" si="1"/>
        <v/>
      </c>
      <c r="L10" s="172"/>
    </row>
    <row r="11" spans="2:18" ht="24" customHeight="1" x14ac:dyDescent="0.25">
      <c r="B11" s="236"/>
      <c r="C11" s="237"/>
      <c r="D11" s="237"/>
      <c r="E11" s="238"/>
      <c r="F11" s="237"/>
      <c r="G11" s="239"/>
      <c r="H11" s="239"/>
      <c r="I11" s="239"/>
      <c r="J11" s="240" t="str">
        <f t="shared" si="0"/>
        <v/>
      </c>
      <c r="K11" s="241" t="str">
        <f t="shared" si="1"/>
        <v/>
      </c>
      <c r="L11" s="172"/>
    </row>
    <row r="12" spans="2:18" ht="24" customHeight="1" x14ac:dyDescent="0.25">
      <c r="B12" s="236"/>
      <c r="C12" s="237"/>
      <c r="D12" s="237"/>
      <c r="E12" s="238"/>
      <c r="F12" s="237"/>
      <c r="G12" s="239"/>
      <c r="H12" s="239"/>
      <c r="I12" s="239"/>
      <c r="J12" s="240" t="str">
        <f t="shared" si="0"/>
        <v/>
      </c>
      <c r="K12" s="241" t="str">
        <f t="shared" si="1"/>
        <v/>
      </c>
      <c r="L12" s="172"/>
    </row>
    <row r="13" spans="2:18" ht="24" customHeight="1" x14ac:dyDescent="0.25">
      <c r="B13" s="236"/>
      <c r="C13" s="237"/>
      <c r="D13" s="237"/>
      <c r="E13" s="238"/>
      <c r="F13" s="237"/>
      <c r="G13" s="239"/>
      <c r="H13" s="239"/>
      <c r="I13" s="239"/>
      <c r="J13" s="240" t="str">
        <f t="shared" si="0"/>
        <v/>
      </c>
      <c r="K13" s="241" t="str">
        <f t="shared" si="1"/>
        <v/>
      </c>
      <c r="L13" s="172"/>
    </row>
    <row r="14" spans="2:18" ht="24" customHeight="1" x14ac:dyDescent="0.25">
      <c r="B14" s="236"/>
      <c r="C14" s="237"/>
      <c r="D14" s="237"/>
      <c r="E14" s="238"/>
      <c r="F14" s="237"/>
      <c r="G14" s="239"/>
      <c r="H14" s="239"/>
      <c r="I14" s="239"/>
      <c r="J14" s="240" t="str">
        <f t="shared" si="0"/>
        <v/>
      </c>
      <c r="K14" s="241" t="str">
        <f t="shared" si="1"/>
        <v/>
      </c>
      <c r="L14" s="172"/>
      <c r="M14" s="171"/>
      <c r="N14" s="171"/>
      <c r="O14" s="171"/>
    </row>
    <row r="15" spans="2:18" ht="24" customHeight="1" thickBot="1" x14ac:dyDescent="0.3">
      <c r="B15" s="242"/>
      <c r="C15" s="243"/>
      <c r="D15" s="243"/>
      <c r="E15" s="244"/>
      <c r="F15" s="243"/>
      <c r="G15" s="245"/>
      <c r="H15" s="245"/>
      <c r="I15" s="245"/>
      <c r="J15" s="246" t="str">
        <f t="shared" si="0"/>
        <v/>
      </c>
      <c r="K15" s="241" t="str">
        <f t="shared" si="1"/>
        <v/>
      </c>
      <c r="L15" s="172"/>
      <c r="M15" s="171"/>
      <c r="N15" s="171"/>
      <c r="O15" s="171"/>
    </row>
    <row r="16" spans="2:18" ht="15.75" thickBot="1" x14ac:dyDescent="0.3">
      <c r="B16" s="587" t="s">
        <v>47</v>
      </c>
      <c r="C16" s="588"/>
      <c r="D16" s="588"/>
      <c r="E16" s="588"/>
      <c r="F16" s="588"/>
      <c r="G16" s="588"/>
      <c r="H16" s="588"/>
      <c r="I16" s="588"/>
      <c r="J16" s="589"/>
      <c r="K16" s="195">
        <f>SUM(K7:K15)</f>
        <v>0</v>
      </c>
      <c r="L16" s="172"/>
      <c r="M16" s="171"/>
      <c r="N16" s="171"/>
      <c r="O16" s="171"/>
    </row>
    <row r="19" spans="2:15" ht="14.45" customHeight="1" x14ac:dyDescent="0.25">
      <c r="B19" s="584" t="s">
        <v>253</v>
      </c>
      <c r="C19" s="584"/>
      <c r="D19" s="584"/>
      <c r="E19" s="584"/>
      <c r="F19" s="584"/>
      <c r="G19" s="584"/>
      <c r="H19" s="584"/>
      <c r="I19" s="584"/>
      <c r="J19" s="584"/>
      <c r="K19" s="584"/>
    </row>
    <row r="20" spans="2:15" ht="14.45" customHeight="1" x14ac:dyDescent="0.25">
      <c r="B20" s="574" t="s">
        <v>254</v>
      </c>
      <c r="C20" s="574"/>
      <c r="D20" s="574"/>
      <c r="E20" s="574"/>
      <c r="F20" s="574"/>
      <c r="G20" s="574"/>
      <c r="H20" s="574"/>
      <c r="I20" s="574"/>
      <c r="J20" s="574"/>
      <c r="K20" s="574"/>
    </row>
    <row r="21" spans="2:15" ht="14.45" customHeight="1" x14ac:dyDescent="0.25">
      <c r="B21" s="574" t="s">
        <v>255</v>
      </c>
      <c r="C21" s="574"/>
      <c r="D21" s="574"/>
      <c r="E21" s="574"/>
      <c r="F21" s="574"/>
      <c r="G21" s="574"/>
      <c r="H21" s="574"/>
      <c r="I21" s="574"/>
      <c r="J21" s="574"/>
      <c r="K21" s="574"/>
    </row>
    <row r="22" spans="2:15" ht="14.45" customHeight="1" x14ac:dyDescent="0.25">
      <c r="B22" s="574" t="s">
        <v>256</v>
      </c>
      <c r="C22" s="574"/>
      <c r="D22" s="574"/>
      <c r="E22" s="574"/>
      <c r="F22" s="574"/>
      <c r="G22" s="574"/>
      <c r="H22" s="574"/>
      <c r="I22" s="574"/>
      <c r="J22" s="574"/>
      <c r="K22" s="574"/>
    </row>
    <row r="23" spans="2:15" ht="14.45" customHeight="1" x14ac:dyDescent="0.25">
      <c r="B23" s="574" t="s">
        <v>257</v>
      </c>
      <c r="C23" s="574"/>
      <c r="D23" s="574"/>
      <c r="E23" s="574"/>
      <c r="F23" s="574"/>
      <c r="G23" s="574"/>
      <c r="H23" s="574"/>
      <c r="I23" s="574"/>
      <c r="J23" s="574"/>
      <c r="K23" s="574"/>
    </row>
    <row r="24" spans="2:15" x14ac:dyDescent="0.25">
      <c r="B24" s="574" t="s">
        <v>258</v>
      </c>
      <c r="C24" s="574"/>
      <c r="D24" s="574"/>
      <c r="E24" s="574"/>
      <c r="F24" s="574"/>
      <c r="G24" s="574"/>
      <c r="H24" s="574"/>
      <c r="I24" s="574"/>
      <c r="J24" s="574"/>
      <c r="K24" s="574"/>
      <c r="M24" s="179"/>
      <c r="N24" s="179"/>
      <c r="O24" s="179"/>
    </row>
    <row r="25" spans="2:15" x14ac:dyDescent="0.25">
      <c r="B25" s="180"/>
      <c r="C25" s="180"/>
      <c r="D25" s="180"/>
      <c r="E25" s="180"/>
      <c r="F25" s="180"/>
      <c r="G25" s="180"/>
      <c r="H25" s="180"/>
      <c r="I25" s="180"/>
      <c r="J25" s="180"/>
      <c r="K25" s="180"/>
      <c r="M25" s="179"/>
      <c r="N25" s="179"/>
      <c r="O25" s="179"/>
    </row>
    <row r="26" spans="2:15" ht="14.45" customHeight="1" x14ac:dyDescent="0.25">
      <c r="B26" s="584" t="s">
        <v>259</v>
      </c>
      <c r="C26" s="584"/>
      <c r="D26" s="584"/>
      <c r="E26" s="584"/>
      <c r="F26" s="584"/>
      <c r="G26" s="584"/>
      <c r="H26" s="584"/>
      <c r="I26" s="584"/>
      <c r="J26" s="584"/>
      <c r="K26" s="584"/>
      <c r="M26" s="179"/>
      <c r="N26" s="179"/>
      <c r="O26" s="179"/>
    </row>
    <row r="27" spans="2:15" x14ac:dyDescent="0.25">
      <c r="B27" s="583" t="s">
        <v>260</v>
      </c>
      <c r="C27" s="583"/>
      <c r="D27" s="583"/>
      <c r="E27" s="583"/>
      <c r="F27" s="583"/>
      <c r="G27" s="583"/>
      <c r="H27" s="583"/>
      <c r="I27" s="583"/>
      <c r="J27" s="583"/>
      <c r="K27" s="583"/>
      <c r="M27" s="179"/>
      <c r="N27" s="179"/>
      <c r="O27" s="179"/>
    </row>
    <row r="28" spans="2:15" ht="14.45" customHeight="1" x14ac:dyDescent="0.25">
      <c r="B28" s="574" t="s">
        <v>261</v>
      </c>
      <c r="C28" s="574"/>
      <c r="D28" s="574"/>
      <c r="E28" s="574"/>
      <c r="F28" s="574"/>
      <c r="G28" s="574"/>
      <c r="H28" s="574"/>
      <c r="I28" s="574"/>
      <c r="J28" s="574"/>
      <c r="K28" s="574"/>
      <c r="M28" s="179"/>
      <c r="N28" s="179"/>
      <c r="O28" s="179"/>
    </row>
    <row r="29" spans="2:15" ht="14.45" customHeight="1" x14ac:dyDescent="0.25">
      <c r="B29" s="574" t="s">
        <v>262</v>
      </c>
      <c r="C29" s="574"/>
      <c r="D29" s="574"/>
      <c r="E29" s="574"/>
      <c r="F29" s="574"/>
      <c r="G29" s="574"/>
      <c r="H29" s="574"/>
      <c r="I29" s="574"/>
      <c r="J29" s="574"/>
      <c r="K29" s="574"/>
      <c r="M29" s="179"/>
      <c r="N29" s="179"/>
      <c r="O29" s="179"/>
    </row>
    <row r="30" spans="2:15" ht="14.45" customHeight="1" x14ac:dyDescent="0.25">
      <c r="B30" s="574" t="s">
        <v>263</v>
      </c>
      <c r="C30" s="574"/>
      <c r="D30" s="574"/>
      <c r="E30" s="574"/>
      <c r="F30" s="574"/>
      <c r="G30" s="574"/>
      <c r="H30" s="574"/>
      <c r="I30" s="574"/>
      <c r="J30" s="574"/>
      <c r="K30" s="574"/>
      <c r="M30" s="179"/>
      <c r="N30" s="179"/>
      <c r="O30" s="179"/>
    </row>
    <row r="31" spans="2:15" ht="14.45" customHeight="1" x14ac:dyDescent="0.25">
      <c r="B31" s="574" t="s">
        <v>264</v>
      </c>
      <c r="C31" s="574"/>
      <c r="D31" s="574"/>
      <c r="E31" s="574"/>
      <c r="F31" s="574"/>
      <c r="G31" s="574"/>
      <c r="H31" s="574"/>
      <c r="I31" s="574"/>
      <c r="J31" s="574"/>
      <c r="K31" s="574"/>
      <c r="M31" s="179"/>
      <c r="N31" s="179"/>
      <c r="O31" s="179"/>
    </row>
    <row r="32" spans="2:15" ht="14.45" customHeight="1" x14ac:dyDescent="0.25">
      <c r="B32" s="574" t="s">
        <v>265</v>
      </c>
      <c r="C32" s="574"/>
      <c r="D32" s="574"/>
      <c r="E32" s="574"/>
      <c r="F32" s="574"/>
      <c r="G32" s="574"/>
      <c r="H32" s="574"/>
      <c r="I32" s="574"/>
      <c r="J32" s="574"/>
      <c r="K32" s="574"/>
      <c r="M32" s="179"/>
      <c r="N32" s="179"/>
      <c r="O32" s="179"/>
    </row>
    <row r="33" spans="2:18" ht="14.45" customHeight="1" x14ac:dyDescent="0.25">
      <c r="B33" s="574" t="s">
        <v>266</v>
      </c>
      <c r="C33" s="574"/>
      <c r="D33" s="574"/>
      <c r="E33" s="574"/>
      <c r="F33" s="574"/>
      <c r="G33" s="574"/>
      <c r="H33" s="574"/>
      <c r="I33" s="574"/>
      <c r="J33" s="574"/>
      <c r="K33" s="574"/>
      <c r="M33" s="179"/>
      <c r="N33" s="179"/>
      <c r="O33" s="179"/>
    </row>
    <row r="34" spans="2:18" ht="14.45" customHeight="1" x14ac:dyDescent="0.25">
      <c r="B34" s="574" t="s">
        <v>267</v>
      </c>
      <c r="C34" s="574"/>
      <c r="D34" s="574"/>
      <c r="E34" s="574"/>
      <c r="F34" s="574"/>
      <c r="G34" s="574"/>
      <c r="H34" s="574"/>
      <c r="I34" s="574"/>
      <c r="J34" s="574"/>
      <c r="K34" s="574"/>
      <c r="M34" s="179"/>
      <c r="N34" s="179"/>
      <c r="O34" s="179"/>
    </row>
    <row r="35" spans="2:18" ht="14.45" customHeight="1" x14ac:dyDescent="0.25">
      <c r="B35" s="574" t="s">
        <v>268</v>
      </c>
      <c r="C35" s="574"/>
      <c r="D35" s="574"/>
      <c r="E35" s="574"/>
      <c r="F35" s="574"/>
      <c r="G35" s="574"/>
      <c r="H35" s="574"/>
      <c r="I35" s="574"/>
      <c r="J35" s="574"/>
      <c r="K35" s="574"/>
      <c r="M35" s="179"/>
      <c r="N35" s="179"/>
      <c r="O35" s="179"/>
    </row>
    <row r="36" spans="2:18" x14ac:dyDescent="0.25">
      <c r="B36" s="583"/>
      <c r="C36" s="583"/>
      <c r="D36" s="583"/>
      <c r="E36" s="583"/>
      <c r="F36" s="583"/>
      <c r="G36" s="583"/>
      <c r="H36" s="583"/>
      <c r="I36" s="583"/>
      <c r="J36" s="181"/>
      <c r="M36" s="179"/>
      <c r="N36" s="179"/>
      <c r="O36" s="179"/>
      <c r="R36" s="1"/>
    </row>
    <row r="37" spans="2:18" s="1" customFormat="1" x14ac:dyDescent="0.25">
      <c r="B37" s="10"/>
      <c r="C37" s="10"/>
      <c r="D37" s="10"/>
      <c r="E37" s="10"/>
      <c r="F37" s="10"/>
      <c r="G37" s="10"/>
      <c r="H37" s="10"/>
      <c r="I37" s="10"/>
      <c r="J37" s="10"/>
      <c r="L37" s="182"/>
      <c r="R37" s="172"/>
    </row>
    <row r="38" spans="2:18" x14ac:dyDescent="0.25">
      <c r="B38" s="10"/>
      <c r="C38" s="10"/>
      <c r="D38" s="10"/>
      <c r="E38" s="10"/>
      <c r="F38" s="10"/>
      <c r="G38" s="10"/>
      <c r="H38" s="10"/>
      <c r="I38" s="10"/>
      <c r="J38" s="10"/>
    </row>
  </sheetData>
  <sheetProtection algorithmName="SHA-512" hashValue="wDqCNUMQQ6+djelThtjjt/caWuKLowgOVMjrfoW0z0gGmgxygm5Z2/FFX4NdtQHqYF8H650zCSq9ttKRw6gTUQ==" saltValue="GeDp4JxGGMSYEcVZQ2X8iQ==" spinCount="100000" sheet="1" objects="1" scenarios="1" selectLockedCells="1"/>
  <mergeCells count="21">
    <mergeCell ref="B1:C1"/>
    <mergeCell ref="B16:J16"/>
    <mergeCell ref="B31:K31"/>
    <mergeCell ref="B32:K32"/>
    <mergeCell ref="B33:K33"/>
    <mergeCell ref="B19:K19"/>
    <mergeCell ref="B20:K20"/>
    <mergeCell ref="B21:K21"/>
    <mergeCell ref="B22:K22"/>
    <mergeCell ref="B23:K23"/>
    <mergeCell ref="D1:K1"/>
    <mergeCell ref="D3:E3"/>
    <mergeCell ref="B34:K34"/>
    <mergeCell ref="B35:K35"/>
    <mergeCell ref="B36:I36"/>
    <mergeCell ref="B24:K24"/>
    <mergeCell ref="B26:K26"/>
    <mergeCell ref="B27:K27"/>
    <mergeCell ref="B28:K28"/>
    <mergeCell ref="B29:K29"/>
    <mergeCell ref="B30:K30"/>
  </mergeCells>
  <dataValidations count="2">
    <dataValidation type="list" allowBlank="1" showInputMessage="1" showErrorMessage="1" sqref="C6:C15" xr:uid="{AF55EC00-3BCD-4A6B-A79A-CAF66B9B6991}">
      <formula1>$M$6:$M$7</formula1>
    </dataValidation>
    <dataValidation type="list" allowBlank="1" showInputMessage="1" showErrorMessage="1" sqref="D6:D15" xr:uid="{B6784E5E-A1CF-4EA2-8EBB-F01184F04133}">
      <formula1>IF(C6=$M$6, $P$6:$P$9, IF(C6=$M$7, $R$6:$R$8, ""))</formula1>
    </dataValidation>
  </dataValidations>
  <printOptions horizontalCentered="1"/>
  <pageMargins left="0.25" right="0.25" top="0.75" bottom="0.75" header="0.3" footer="0.3"/>
  <pageSetup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F7A177-D4DF-431C-9D71-3B35AD69781C}">
          <x14:formula1>
            <xm:f>AC_HP_EFLH_CF!$A$7:$A$15</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6918-BF80-47E2-95B2-C1BC1D70B2F9}">
  <sheetPr>
    <tabColor theme="9" tint="0.79998168889431442"/>
    <pageSetUpPr autoPageBreaks="0" fitToPage="1"/>
  </sheetPr>
  <dimension ref="A1:V47"/>
  <sheetViews>
    <sheetView showGridLines="0" workbookViewId="0">
      <selection activeCell="E7" sqref="E7"/>
    </sheetView>
  </sheetViews>
  <sheetFormatPr defaultColWidth="8.85546875" defaultRowHeight="15" x14ac:dyDescent="0.25"/>
  <cols>
    <col min="1" max="3" width="2.7109375" customWidth="1"/>
    <col min="4" max="4" width="18.7109375" customWidth="1"/>
    <col min="5" max="10" width="16.7109375" customWidth="1"/>
    <col min="11" max="13" width="2.7109375" customWidth="1"/>
    <col min="14" max="14" width="18.7109375" customWidth="1"/>
    <col min="15" max="16" width="16.7109375" customWidth="1"/>
    <col min="17" max="19" width="2.7109375" customWidth="1"/>
    <col min="20" max="20" width="15.85546875" hidden="1" customWidth="1"/>
    <col min="21" max="21" width="17.28515625" hidden="1" customWidth="1"/>
    <col min="22" max="22" width="11.85546875" hidden="1" customWidth="1"/>
  </cols>
  <sheetData>
    <row r="1" spans="1:22" ht="23.25" x14ac:dyDescent="0.35">
      <c r="B1" s="596" t="s">
        <v>114</v>
      </c>
      <c r="C1" s="597"/>
      <c r="D1" s="597"/>
      <c r="E1" s="597"/>
      <c r="F1" s="597"/>
      <c r="G1" s="597"/>
      <c r="H1" s="597"/>
      <c r="I1" s="597"/>
      <c r="J1" s="597"/>
      <c r="K1" s="597"/>
      <c r="L1" s="597"/>
      <c r="M1" s="597"/>
      <c r="N1" s="597"/>
      <c r="O1" s="597"/>
      <c r="P1" s="597"/>
      <c r="Q1" s="597"/>
      <c r="R1" s="598"/>
    </row>
    <row r="2" spans="1:22" x14ac:dyDescent="0.25">
      <c r="B2" s="61"/>
      <c r="R2" s="62"/>
    </row>
    <row r="3" spans="1:22" x14ac:dyDescent="0.25">
      <c r="A3" s="54"/>
      <c r="B3" s="63"/>
      <c r="C3" s="54"/>
      <c r="D3" s="64" t="s">
        <v>115</v>
      </c>
      <c r="E3" s="65"/>
      <c r="F3" s="65"/>
      <c r="G3" s="64" t="s">
        <v>116</v>
      </c>
      <c r="H3" s="65"/>
      <c r="I3" s="65"/>
      <c r="J3" s="65"/>
      <c r="K3" s="65"/>
      <c r="L3" s="65"/>
      <c r="M3" s="66" t="s">
        <v>117</v>
      </c>
      <c r="N3" s="65"/>
      <c r="O3" s="65"/>
      <c r="P3" s="54"/>
      <c r="Q3" s="54"/>
      <c r="R3" s="67"/>
      <c r="S3" s="54"/>
      <c r="T3" s="54"/>
      <c r="U3" s="54"/>
      <c r="V3" s="54"/>
    </row>
    <row r="4" spans="1:22" x14ac:dyDescent="0.25">
      <c r="A4" s="54"/>
      <c r="B4" s="63"/>
      <c r="C4" s="54"/>
      <c r="D4" s="54"/>
      <c r="E4" s="54"/>
      <c r="F4" s="54"/>
      <c r="G4" s="54"/>
      <c r="H4" s="54"/>
      <c r="I4" s="54"/>
      <c r="J4" s="54"/>
      <c r="K4" s="54"/>
      <c r="L4" s="54"/>
      <c r="M4" s="54"/>
      <c r="N4" s="54"/>
      <c r="O4" s="54"/>
      <c r="P4" s="54"/>
      <c r="Q4" s="54"/>
      <c r="R4" s="67"/>
      <c r="S4" s="54"/>
      <c r="T4" s="68" t="s">
        <v>118</v>
      </c>
      <c r="U4" s="54"/>
    </row>
    <row r="5" spans="1:22" x14ac:dyDescent="0.25">
      <c r="A5" s="54"/>
      <c r="B5" s="63"/>
      <c r="C5" s="54"/>
      <c r="D5" s="52" t="s">
        <v>119</v>
      </c>
      <c r="E5" s="69"/>
      <c r="F5" s="69"/>
      <c r="G5" s="70" t="s">
        <v>120</v>
      </c>
      <c r="H5" s="46" t="e">
        <f>IF(AND(OR($E$5=$T$5,$E$5=$T$6),OR($U$22=$T$19,$U$22=$T$20,$U$22=$T$21)), TRUE, IF(AND(OR($E$5=$T$7,$E$5=$T$8),$E$8&gt;=$U$31), TRUE, IF(AND($E$5=$T$9,$E$8&gt;=$U$37),TRUE, IF(AND($E$5=$T$10,$E$8&gt;=$U$43), TRUE, FALSE))))</f>
        <v>#N/A</v>
      </c>
      <c r="J5" s="54"/>
      <c r="K5" s="54"/>
      <c r="L5" s="54"/>
      <c r="M5" s="70" t="s">
        <v>121</v>
      </c>
      <c r="N5" s="71" t="str">
        <f>IF(OR($E$5=$T$5,$E$5=$T$6),$U$23,IF(OR($E$5=$T$7,$E$5=$T$8),$U$32,IF($E$5=$T$9,$U$38,IF($E$5=$T$10,$U$44, "Missing Input"))))</f>
        <v>Missing Input</v>
      </c>
      <c r="O5" s="72" t="str">
        <f>O6</f>
        <v>EER</v>
      </c>
      <c r="P5" s="54"/>
      <c r="Q5" s="54"/>
      <c r="R5" s="67"/>
      <c r="S5" s="54"/>
      <c r="T5" s="73" t="s">
        <v>122</v>
      </c>
      <c r="U5" s="54"/>
    </row>
    <row r="6" spans="1:22" x14ac:dyDescent="0.25">
      <c r="A6" s="54"/>
      <c r="B6" s="63"/>
      <c r="C6" s="54"/>
      <c r="D6" s="52" t="s">
        <v>123</v>
      </c>
      <c r="E6" s="74"/>
      <c r="F6" s="54"/>
      <c r="G6" s="70" t="s">
        <v>124</v>
      </c>
      <c r="H6" s="46" t="e">
        <f>IF(AND(OR($E$5=$T$5,$E$5=$T$6),OR($V$22=$T$19,$V$22=$T$20,$V$22=$T$21)), TRUE, IF(AND(OR($E$5=$T$7,$E$5=$T$8),$E$9&gt;=$U$31), TRUE, IF(AND($E$5=$T$9,$E$9&gt;=$U$37),TRUE, IF(AND($E$5=$T$10,$E$9&gt;=$U$43), TRUE, FALSE))))</f>
        <v>#N/A</v>
      </c>
      <c r="J6" s="54"/>
      <c r="K6" s="54"/>
      <c r="L6" s="54"/>
      <c r="M6" s="70" t="s">
        <v>125</v>
      </c>
      <c r="N6" s="71">
        <f>IF(AND(OR($E$5=$T$5,$E$5=$T$6),$E$6&lt;65000),$E$9,$E$8)</f>
        <v>0</v>
      </c>
      <c r="O6" s="75" t="str">
        <f>IF(AND(OR($E$5=$T$5,$E$5=$T$6),$E$6&lt;65000),$F$9,$F$8)</f>
        <v>EER</v>
      </c>
      <c r="P6" s="54"/>
      <c r="Q6" s="54"/>
      <c r="R6" s="67"/>
      <c r="S6" s="54"/>
      <c r="T6" s="73" t="s">
        <v>126</v>
      </c>
      <c r="U6" s="54"/>
    </row>
    <row r="7" spans="1:22" x14ac:dyDescent="0.25">
      <c r="A7" s="54"/>
      <c r="B7" s="63"/>
      <c r="C7" s="54"/>
      <c r="D7" s="52" t="s">
        <v>127</v>
      </c>
      <c r="E7" s="69"/>
      <c r="F7" s="54"/>
      <c r="G7" s="70"/>
      <c r="H7" s="65"/>
      <c r="J7" s="54"/>
      <c r="K7" s="54"/>
      <c r="L7" s="54"/>
      <c r="M7" s="70" t="s">
        <v>128</v>
      </c>
      <c r="N7" s="76" t="str">
        <f>IFERROR(12/$N$5-12/$N$6, "Missing Input")</f>
        <v>Missing Input</v>
      </c>
      <c r="O7" s="54"/>
      <c r="P7" s="54"/>
      <c r="Q7" s="54"/>
      <c r="R7" s="67"/>
      <c r="S7" s="54"/>
      <c r="T7" s="73" t="s">
        <v>129</v>
      </c>
      <c r="U7" s="54"/>
    </row>
    <row r="8" spans="1:22" x14ac:dyDescent="0.25">
      <c r="A8" s="54"/>
      <c r="B8" s="63"/>
      <c r="C8" s="54"/>
      <c r="D8" s="70" t="s">
        <v>130</v>
      </c>
      <c r="E8" s="77"/>
      <c r="F8" s="54" t="s">
        <v>131</v>
      </c>
      <c r="G8" s="70" t="s">
        <v>132</v>
      </c>
      <c r="H8" s="46" t="e">
        <f>IF(AND(OR($E$5=$T$5,$E$5=$T$6),OR($U$22=$T$20,$U$22=$T$21)), TRUE, IF(AND(OR($E$5=$T$7,$E$5=$T$8),$E$8&gt;=$U$31), TRUE, IF(AND($E$5=$T$9,$E$8&gt;=$U$37),TRUE, IF(AND($E$5=$T$10,$E$8&gt;=$U$43), TRUE, FALSE))))</f>
        <v>#N/A</v>
      </c>
      <c r="J8" s="54"/>
      <c r="K8" s="54"/>
      <c r="L8" s="54"/>
      <c r="M8" s="52" t="s">
        <v>133</v>
      </c>
      <c r="N8" s="78" t="s">
        <v>323</v>
      </c>
      <c r="O8" s="54"/>
      <c r="P8" s="54"/>
      <c r="Q8" s="54"/>
      <c r="R8" s="67"/>
      <c r="S8" s="54"/>
      <c r="T8" s="73" t="s">
        <v>134</v>
      </c>
      <c r="U8" s="54"/>
    </row>
    <row r="9" spans="1:22" x14ac:dyDescent="0.25">
      <c r="A9" s="54"/>
      <c r="B9" s="63"/>
      <c r="C9" s="54"/>
      <c r="D9" s="70" t="s">
        <v>135</v>
      </c>
      <c r="E9" s="77"/>
      <c r="F9" s="54" t="str">
        <f>IF(AND(OR($E$5=$T$5,$E$5=$T$6),$E$6&lt;65000), "SEER", IF(OR($E$5=$T$5,$E$5=$T$6), "IEER", ""))</f>
        <v/>
      </c>
      <c r="G9" s="70" t="s">
        <v>136</v>
      </c>
      <c r="H9" s="46" t="e">
        <f>IF(AND(OR($E$5=$T$5,$E$5=$T$6),OR($V$22=$T$20,$V$22=$T$21)), TRUE, IF(AND(OR($E$5=$T$7,$E$5=$T$8),$E$9&gt;=$U$31), TRUE, IF(AND($E$5=$T$9,$E$9&gt;=$U$37),TRUE, IF(AND($E$5=$T$10,$E$9&gt;=$U$43), TRUE, FALSE))))</f>
        <v>#N/A</v>
      </c>
      <c r="J9" s="54"/>
      <c r="K9" s="54"/>
      <c r="L9" s="54"/>
      <c r="M9" s="52" t="s">
        <v>137</v>
      </c>
      <c r="N9" s="79" t="s">
        <v>323</v>
      </c>
      <c r="O9" s="54"/>
      <c r="P9" s="54"/>
      <c r="Q9" s="54"/>
      <c r="R9" s="67"/>
      <c r="S9" s="54"/>
      <c r="T9" s="73" t="s">
        <v>138</v>
      </c>
      <c r="U9" s="54"/>
    </row>
    <row r="10" spans="1:22" x14ac:dyDescent="0.25">
      <c r="A10" s="54"/>
      <c r="B10" s="63"/>
      <c r="C10" s="54"/>
      <c r="D10" s="80" t="s">
        <v>139</v>
      </c>
      <c r="F10" s="54"/>
      <c r="G10" s="70"/>
      <c r="H10" s="65"/>
      <c r="J10" s="54"/>
      <c r="K10" s="54"/>
      <c r="L10" s="54"/>
      <c r="M10" s="70" t="s">
        <v>140</v>
      </c>
      <c r="N10" s="81" t="str">
        <f>IFERROR(($E$6/12000)*$N$7*$N$8, "Missing Input")</f>
        <v>Missing Input</v>
      </c>
      <c r="O10" s="54"/>
      <c r="P10" s="54"/>
      <c r="Q10" s="54"/>
      <c r="R10" s="67"/>
      <c r="S10" s="54"/>
      <c r="T10" s="73" t="s">
        <v>141</v>
      </c>
      <c r="U10" s="54"/>
    </row>
    <row r="11" spans="1:22" x14ac:dyDescent="0.25">
      <c r="A11" s="54"/>
      <c r="B11" s="63"/>
      <c r="C11" s="54"/>
      <c r="D11" s="52" t="s">
        <v>142</v>
      </c>
      <c r="E11" s="82"/>
      <c r="F11" s="54"/>
      <c r="G11" s="70" t="s">
        <v>143</v>
      </c>
      <c r="H11" s="46" t="e">
        <f>IF(AND(OR($E$5=$T$5,$E$5=$T$6),$U$22=$T$21), TRUE, IF(AND(OR($E$5=$T$7,$E$5=$T$8),$E$8&gt;=$U$31), TRUE, IF(AND($E$5=$T$9,$E$8&gt;=$U$37),TRUE, IF(AND($E$5=$T$10,$E$8&gt;=$U$43), TRUE, FALSE))))</f>
        <v>#N/A</v>
      </c>
      <c r="J11" s="54"/>
      <c r="K11" s="54"/>
      <c r="L11" s="54"/>
      <c r="M11" s="70" t="s">
        <v>144</v>
      </c>
      <c r="N11" s="83" t="str">
        <f>IFERROR(($E$6/12000)*$N$7*$N$9, "Missing Input")</f>
        <v>Missing Input</v>
      </c>
      <c r="O11" s="54"/>
      <c r="P11" s="54"/>
      <c r="Q11" s="54"/>
      <c r="R11" s="67"/>
      <c r="S11" s="54"/>
      <c r="U11" s="54"/>
    </row>
    <row r="12" spans="1:22" x14ac:dyDescent="0.25">
      <c r="A12" s="54"/>
      <c r="B12" s="63"/>
      <c r="C12" s="54"/>
      <c r="D12" s="52" t="s">
        <v>137</v>
      </c>
      <c r="E12" s="84"/>
      <c r="F12" s="54"/>
      <c r="G12" s="70" t="s">
        <v>145</v>
      </c>
      <c r="H12" s="46" t="e">
        <f>IF(AND(OR($E$5=$T$5,$E$5=$T$6),$V$22=$T$21), TRUE, IF(AND(OR($E$5=$T$7,$E$5=$T$8),$E$9&gt;=$U$31), TRUE, IF(AND($E$5=$T$9,$E$9&gt;=$U$37),TRUE, IF(AND($E$5=$T$10,$E$9&gt;=$U$43), TRUE, FALSE))))</f>
        <v>#N/A</v>
      </c>
      <c r="J12" s="54"/>
      <c r="K12" s="54"/>
      <c r="L12" s="54"/>
      <c r="M12" s="54"/>
      <c r="N12" s="54"/>
      <c r="O12" s="54"/>
      <c r="P12" s="54"/>
      <c r="Q12" s="54"/>
      <c r="R12" s="67"/>
      <c r="S12" s="54"/>
      <c r="T12" s="85"/>
      <c r="U12" s="54"/>
    </row>
    <row r="13" spans="1:22" x14ac:dyDescent="0.25">
      <c r="A13" s="54"/>
      <c r="B13" s="63"/>
      <c r="C13" s="54"/>
      <c r="E13" s="54"/>
      <c r="F13" s="54"/>
      <c r="G13" s="54"/>
      <c r="H13" s="54"/>
      <c r="I13" s="54"/>
      <c r="J13" s="54"/>
      <c r="K13" s="54"/>
      <c r="L13" s="54"/>
      <c r="M13" s="54"/>
      <c r="N13" s="54"/>
      <c r="O13" s="54"/>
      <c r="P13" s="54"/>
      <c r="Q13" s="54"/>
      <c r="R13" s="67"/>
      <c r="S13" s="54"/>
      <c r="T13" s="85"/>
      <c r="U13" s="54"/>
    </row>
    <row r="14" spans="1:22" x14ac:dyDescent="0.25">
      <c r="A14" s="54"/>
      <c r="B14" s="63"/>
      <c r="C14" s="86"/>
      <c r="D14" s="87"/>
      <c r="E14" s="87"/>
      <c r="F14" s="87"/>
      <c r="G14" s="87"/>
      <c r="H14" s="87"/>
      <c r="I14" s="87"/>
      <c r="J14" s="87"/>
      <c r="K14" s="88"/>
      <c r="L14" s="54"/>
      <c r="M14" s="86"/>
      <c r="N14" s="87"/>
      <c r="O14" s="87"/>
      <c r="P14" s="87"/>
      <c r="Q14" s="88"/>
      <c r="R14" s="67"/>
      <c r="S14" s="54"/>
      <c r="T14" s="85"/>
      <c r="U14" s="54"/>
    </row>
    <row r="15" spans="1:22" ht="15.75" thickBot="1" x14ac:dyDescent="0.3">
      <c r="A15" s="54"/>
      <c r="B15" s="63"/>
      <c r="C15" s="89"/>
      <c r="D15" s="54" t="s">
        <v>146</v>
      </c>
      <c r="E15" s="54"/>
      <c r="F15" s="54"/>
      <c r="G15" s="54"/>
      <c r="H15" s="54"/>
      <c r="I15" s="54"/>
      <c r="J15" s="54"/>
      <c r="K15" s="90"/>
      <c r="L15" s="54"/>
      <c r="M15" s="89"/>
      <c r="N15" s="54" t="s">
        <v>147</v>
      </c>
      <c r="O15" s="54"/>
      <c r="P15" s="54"/>
      <c r="Q15" s="90"/>
      <c r="R15" s="67"/>
      <c r="S15" s="54"/>
      <c r="T15" s="54"/>
      <c r="U15" s="54"/>
    </row>
    <row r="16" spans="1:22" ht="15.75" thickBot="1" x14ac:dyDescent="0.3">
      <c r="A16" s="54"/>
      <c r="B16" s="63"/>
      <c r="C16" s="89"/>
      <c r="D16" s="54"/>
      <c r="E16" s="599" t="s">
        <v>148</v>
      </c>
      <c r="F16" s="600"/>
      <c r="G16" s="599" t="s">
        <v>149</v>
      </c>
      <c r="H16" s="600"/>
      <c r="I16" s="599" t="s">
        <v>150</v>
      </c>
      <c r="J16" s="600"/>
      <c r="K16" s="91"/>
      <c r="L16" s="51"/>
      <c r="M16" s="89"/>
      <c r="N16" s="54"/>
      <c r="O16" s="54"/>
      <c r="P16" s="54"/>
      <c r="Q16" s="90"/>
      <c r="R16" s="67"/>
      <c r="S16" s="54"/>
    </row>
    <row r="17" spans="1:22" ht="15" customHeight="1" thickBot="1" x14ac:dyDescent="0.3">
      <c r="A17" s="54"/>
      <c r="B17" s="63"/>
      <c r="C17" s="89"/>
      <c r="D17" s="54"/>
      <c r="E17" s="92" t="s">
        <v>122</v>
      </c>
      <c r="F17" s="93" t="s">
        <v>126</v>
      </c>
      <c r="G17" s="92" t="s">
        <v>122</v>
      </c>
      <c r="H17" s="93" t="s">
        <v>126</v>
      </c>
      <c r="I17" s="92" t="s">
        <v>122</v>
      </c>
      <c r="J17" s="93" t="s">
        <v>126</v>
      </c>
      <c r="K17" s="91"/>
      <c r="L17" s="51"/>
      <c r="M17" s="89"/>
      <c r="N17" s="54"/>
      <c r="O17" s="94" t="s">
        <v>122</v>
      </c>
      <c r="P17" s="95" t="s">
        <v>126</v>
      </c>
      <c r="Q17" s="91"/>
      <c r="R17" s="96"/>
      <c r="S17" s="51"/>
      <c r="T17" s="601" t="s">
        <v>151</v>
      </c>
      <c r="U17" s="601"/>
      <c r="V17" s="601"/>
    </row>
    <row r="18" spans="1:22" x14ac:dyDescent="0.25">
      <c r="A18" s="54"/>
      <c r="B18" s="63"/>
      <c r="C18" s="89"/>
      <c r="D18" s="590" t="s">
        <v>152</v>
      </c>
      <c r="E18" s="97">
        <v>12</v>
      </c>
      <c r="F18" s="98">
        <v>12.5</v>
      </c>
      <c r="G18" s="97">
        <v>12</v>
      </c>
      <c r="H18" s="98">
        <v>13</v>
      </c>
      <c r="I18" s="99">
        <v>12.5</v>
      </c>
      <c r="J18" s="100">
        <v>13</v>
      </c>
      <c r="K18" s="101"/>
      <c r="L18" s="102"/>
      <c r="M18" s="89"/>
      <c r="N18" s="590" t="s">
        <v>152</v>
      </c>
      <c r="O18" s="592">
        <v>9.6999999999999993</v>
      </c>
      <c r="P18" s="594">
        <v>10</v>
      </c>
      <c r="Q18" s="103"/>
      <c r="R18" s="104"/>
      <c r="S18" s="102"/>
      <c r="T18" s="105" t="s">
        <v>153</v>
      </c>
      <c r="U18" s="106" t="str">
        <f>IF($E$6&lt;65000,$D$18,IF(AND($E$6&gt;=65000,$E$6&lt;135000),$D$20,IF(AND($E$6&gt;=135000,$E$6&lt;240000),$D$22,IF(AND($E$6&gt;=240000,$E$6&lt;760000),$D$24,$D$26))))</f>
        <v xml:space="preserve"> &lt;65,000</v>
      </c>
      <c r="V18" s="37"/>
    </row>
    <row r="19" spans="1:22" ht="15.75" thickBot="1" x14ac:dyDescent="0.3">
      <c r="A19" s="54"/>
      <c r="B19" s="63"/>
      <c r="C19" s="89"/>
      <c r="D19" s="591"/>
      <c r="E19" s="107">
        <v>15</v>
      </c>
      <c r="F19" s="108">
        <v>15</v>
      </c>
      <c r="G19" s="107">
        <v>16</v>
      </c>
      <c r="H19" s="108">
        <v>16</v>
      </c>
      <c r="I19" s="109">
        <v>17</v>
      </c>
      <c r="J19" s="110">
        <v>18</v>
      </c>
      <c r="K19" s="111"/>
      <c r="L19" s="112"/>
      <c r="M19" s="89"/>
      <c r="N19" s="591"/>
      <c r="O19" s="593"/>
      <c r="P19" s="595"/>
      <c r="Q19" s="103"/>
      <c r="R19" s="104"/>
      <c r="S19" s="112"/>
      <c r="T19" s="113" t="s">
        <v>154</v>
      </c>
      <c r="U19" s="114" t="b">
        <f>IF(AND($E$5=$T$5,$U$18=$D$18),$E$19,IF(AND($E$5=$T$6,$U$18=$D$18),$F$19,IF($U$18=$D$20,$E$20,IF($U$18=$D$22,$E$22,IF($U$18=$D$24,$E$24,IF($U$18=$D$26,$E$26,FALSE))))))</f>
        <v>0</v>
      </c>
      <c r="V19" s="115" t="b">
        <f>IF(AND($E$5=$T$5,$U$18=$D$18),$E$19,IF(AND($E$5=$T$6,$U$18=$D$18),$F$19,IF($U$18=$D$20,$E$21,IF($U$18=$D$22,$E$23,IF($U$18=$D$24,$E$25,IF($U$18=$D$26,$E$27,FALSE))))))</f>
        <v>0</v>
      </c>
    </row>
    <row r="20" spans="1:22" x14ac:dyDescent="0.25">
      <c r="A20" s="54"/>
      <c r="B20" s="63"/>
      <c r="C20" s="89"/>
      <c r="D20" s="590" t="s">
        <v>155</v>
      </c>
      <c r="E20" s="608">
        <v>12.2</v>
      </c>
      <c r="F20" s="609"/>
      <c r="G20" s="608">
        <v>12.2</v>
      </c>
      <c r="H20" s="609"/>
      <c r="I20" s="608">
        <v>12.6</v>
      </c>
      <c r="J20" s="609"/>
      <c r="K20" s="101"/>
      <c r="L20" s="102"/>
      <c r="M20" s="89"/>
      <c r="N20" s="590" t="s">
        <v>155</v>
      </c>
      <c r="O20" s="602">
        <v>10.3</v>
      </c>
      <c r="P20" s="603"/>
      <c r="Q20" s="116"/>
      <c r="R20" s="117"/>
      <c r="S20" s="102"/>
      <c r="T20" s="113" t="s">
        <v>156</v>
      </c>
      <c r="U20" s="114" t="b">
        <f>IF(AND($E$5=$T$5,$U$18=$D$18),$G$19,IF(AND($E$5=$T$6,$U$18=$D$18),$H$19,IF($U$18=$D$20,$G$20,IF($U$18=$D$22,$G$22,IF($U$18=$D$24,$G$24,IF($U$18=$D$26,$G$26,FALSE))))))</f>
        <v>0</v>
      </c>
      <c r="V20" s="115" t="b">
        <f>IF(AND($E$5=$T$5,$U$18=$D$18),$G$19,IF(AND($E$5=$T$6,$U$18=$D$18),$H$19,IF($U$18=$D$20,$G$21,IF($U$18=$D$22,$G$23,IF($U$18=$D$24,$G$25,IF($U$18=$D$26,$G$27,FALSE))))))</f>
        <v>0</v>
      </c>
    </row>
    <row r="21" spans="1:22" ht="15.75" thickBot="1" x14ac:dyDescent="0.3">
      <c r="A21" s="54"/>
      <c r="B21" s="63"/>
      <c r="C21" s="89"/>
      <c r="D21" s="591"/>
      <c r="E21" s="606">
        <v>14</v>
      </c>
      <c r="F21" s="607"/>
      <c r="G21" s="606">
        <v>14.8</v>
      </c>
      <c r="H21" s="607"/>
      <c r="I21" s="606">
        <v>18</v>
      </c>
      <c r="J21" s="607"/>
      <c r="K21" s="118"/>
      <c r="L21" s="119"/>
      <c r="M21" s="89"/>
      <c r="N21" s="591"/>
      <c r="O21" s="604"/>
      <c r="P21" s="605"/>
      <c r="Q21" s="116"/>
      <c r="R21" s="117"/>
      <c r="S21" s="102"/>
      <c r="T21" s="113" t="s">
        <v>157</v>
      </c>
      <c r="U21" s="114" t="b">
        <f>IF(AND($E$5=$T$5,$U$18=$D$18),$I$19,IF(AND($E$5=$T$6,$U$18=$D$18),$J$19,IF($U$18=$D$20,$I$20,IF($U$18=$D$22,$I$22,IF($U$18=$D$24,$I$24,IF($U$18=$D$26,$I$26,FALSE))))))</f>
        <v>0</v>
      </c>
      <c r="V21" s="115" t="b">
        <f>IF(AND($E$5=$T$5,$U$18=$D$18),$I$19,IF(AND($E$5=$T$6,$U$18=$D$18),$J$19,IF($U$18=$D$20,$I$21,IF($U$18=$D$22,$I$23,IF($U$18=$D$24,$I$25,IF($U$18=$D$26,$I$26,FALSE))))))</f>
        <v>0</v>
      </c>
    </row>
    <row r="22" spans="1:22" x14ac:dyDescent="0.25">
      <c r="A22" s="54"/>
      <c r="B22" s="63"/>
      <c r="C22" s="89"/>
      <c r="D22" s="590" t="s">
        <v>158</v>
      </c>
      <c r="E22" s="608">
        <v>12.2</v>
      </c>
      <c r="F22" s="609"/>
      <c r="G22" s="608">
        <v>12.2</v>
      </c>
      <c r="H22" s="609"/>
      <c r="I22" s="608">
        <v>12.2</v>
      </c>
      <c r="J22" s="609"/>
      <c r="K22" s="101"/>
      <c r="L22" s="102"/>
      <c r="M22" s="89"/>
      <c r="N22" s="590" t="s">
        <v>158</v>
      </c>
      <c r="O22" s="602">
        <v>9.6999999999999993</v>
      </c>
      <c r="P22" s="603"/>
      <c r="Q22" s="116"/>
      <c r="R22" s="117"/>
      <c r="S22" s="102"/>
      <c r="T22" s="113" t="s">
        <v>159</v>
      </c>
      <c r="U22" s="37" t="str">
        <f>IF($E$8&gt;=$U$21, $T$21, IF($E$8&gt;=$U$20,$T$20, IF($E$8&gt;=$U$19,$T$19)))</f>
        <v>Tier 3 Cutoff</v>
      </c>
      <c r="V22" s="37" t="str">
        <f>IF($E$9&gt;=$V$21, $T$21, IF($E$9&gt;=$V$20,$T$20, IF($E$9&gt;=$V$19,$T$19)))</f>
        <v>Tier 3 Cutoff</v>
      </c>
    </row>
    <row r="23" spans="1:22" ht="15.75" thickBot="1" x14ac:dyDescent="0.3">
      <c r="A23" s="54"/>
      <c r="B23" s="63"/>
      <c r="C23" s="89"/>
      <c r="D23" s="591"/>
      <c r="E23" s="606">
        <v>13.2</v>
      </c>
      <c r="F23" s="607"/>
      <c r="G23" s="606">
        <v>14.2</v>
      </c>
      <c r="H23" s="607"/>
      <c r="I23" s="606">
        <v>17</v>
      </c>
      <c r="J23" s="607"/>
      <c r="K23" s="118"/>
      <c r="L23" s="119"/>
      <c r="M23" s="89"/>
      <c r="N23" s="591"/>
      <c r="O23" s="604"/>
      <c r="P23" s="605"/>
      <c r="Q23" s="116"/>
      <c r="R23" s="117"/>
      <c r="S23" s="102"/>
      <c r="T23" s="105" t="s">
        <v>160</v>
      </c>
      <c r="U23" s="120" t="b">
        <f>IF(AND($E$5=$T$5,$U$18=$N$18),$O$18,IF(AND($E$5=$T$6,$U$18=$N$18),$P$18,IF($U$18=$N$20,$O$20,IF($U$18=$N$22,$O$22,IF($U$18=$N$24,$O$24,IF($U$18=$N$26,$O$26,FALSE))))))</f>
        <v>0</v>
      </c>
      <c r="V23" s="115" t="b">
        <f>IF(AND($E$5=$T$5,$U$18=$N$18),$O$18,IF(AND($E$5=$T$6,$U$18=$N$18),$P$18,IF($U$18=$N$20,$O$20,IF($U$18=$N$22,$O$22,IF($U$18=$N$24,$O$25,IF($U$18=$N$26,$O$27,FALSE))))))</f>
        <v>0</v>
      </c>
    </row>
    <row r="24" spans="1:22" x14ac:dyDescent="0.25">
      <c r="A24" s="54"/>
      <c r="B24" s="63"/>
      <c r="C24" s="89"/>
      <c r="D24" s="590" t="s">
        <v>161</v>
      </c>
      <c r="E24" s="608">
        <v>10.5</v>
      </c>
      <c r="F24" s="609"/>
      <c r="G24" s="608">
        <v>10.8</v>
      </c>
      <c r="H24" s="609"/>
      <c r="I24" s="608">
        <v>10.8</v>
      </c>
      <c r="J24" s="609"/>
      <c r="K24" s="101"/>
      <c r="L24" s="102"/>
      <c r="M24" s="89"/>
      <c r="N24" s="590" t="s">
        <v>161</v>
      </c>
      <c r="O24" s="608">
        <v>9.5</v>
      </c>
      <c r="P24" s="609"/>
      <c r="Q24" s="101"/>
      <c r="R24" s="121"/>
      <c r="S24" s="102"/>
      <c r="T24" s="122"/>
      <c r="U24" s="123"/>
    </row>
    <row r="25" spans="1:22" ht="15.75" thickBot="1" x14ac:dyDescent="0.3">
      <c r="A25" s="54"/>
      <c r="B25" s="63"/>
      <c r="C25" s="89"/>
      <c r="D25" s="591"/>
      <c r="E25" s="606">
        <v>12.3</v>
      </c>
      <c r="F25" s="607"/>
      <c r="G25" s="606">
        <v>13.2</v>
      </c>
      <c r="H25" s="607"/>
      <c r="I25" s="606">
        <v>14.5</v>
      </c>
      <c r="J25" s="607"/>
      <c r="K25" s="118"/>
      <c r="L25" s="119"/>
      <c r="M25" s="89"/>
      <c r="N25" s="591"/>
      <c r="O25" s="606">
        <v>9.6999999999999993</v>
      </c>
      <c r="P25" s="607"/>
      <c r="Q25" s="118"/>
      <c r="R25" s="124"/>
      <c r="S25" s="119"/>
      <c r="T25" s="122"/>
      <c r="U25" s="125"/>
    </row>
    <row r="26" spans="1:22" x14ac:dyDescent="0.25">
      <c r="A26" s="54"/>
      <c r="B26" s="63"/>
      <c r="C26" s="89"/>
      <c r="D26" s="590" t="s">
        <v>162</v>
      </c>
      <c r="E26" s="608">
        <v>9.9</v>
      </c>
      <c r="F26" s="609"/>
      <c r="G26" s="608">
        <v>10.4</v>
      </c>
      <c r="H26" s="609"/>
      <c r="I26" s="590" t="s">
        <v>163</v>
      </c>
      <c r="J26" s="611"/>
      <c r="K26" s="91"/>
      <c r="L26" s="51"/>
      <c r="M26" s="89"/>
      <c r="N26" s="590" t="s">
        <v>162</v>
      </c>
      <c r="O26" s="608">
        <v>9.1999999999999993</v>
      </c>
      <c r="P26" s="609"/>
      <c r="Q26" s="101"/>
      <c r="R26" s="121"/>
      <c r="S26" s="102"/>
      <c r="T26" s="122"/>
      <c r="U26" s="126"/>
    </row>
    <row r="27" spans="1:22" ht="15.75" thickBot="1" x14ac:dyDescent="0.3">
      <c r="A27" s="54"/>
      <c r="B27" s="63"/>
      <c r="C27" s="89"/>
      <c r="D27" s="591"/>
      <c r="E27" s="606">
        <v>11.6</v>
      </c>
      <c r="F27" s="607"/>
      <c r="G27" s="606">
        <v>12.3</v>
      </c>
      <c r="H27" s="607"/>
      <c r="I27" s="591"/>
      <c r="J27" s="612"/>
      <c r="K27" s="91"/>
      <c r="L27" s="51"/>
      <c r="M27" s="89"/>
      <c r="N27" s="591"/>
      <c r="O27" s="606">
        <v>9.4</v>
      </c>
      <c r="P27" s="607"/>
      <c r="Q27" s="118"/>
      <c r="R27" s="124"/>
      <c r="S27" s="119"/>
    </row>
    <row r="28" spans="1:22" ht="15.75" thickBot="1" x14ac:dyDescent="0.3">
      <c r="B28" s="61"/>
      <c r="C28" s="127"/>
      <c r="K28" s="128"/>
      <c r="M28" s="127"/>
      <c r="Q28" s="128"/>
      <c r="R28" s="62"/>
    </row>
    <row r="29" spans="1:22" ht="15.75" thickBot="1" x14ac:dyDescent="0.3">
      <c r="B29" s="61"/>
      <c r="C29" s="127"/>
      <c r="E29" s="613" t="s">
        <v>129</v>
      </c>
      <c r="F29" s="614"/>
      <c r="G29" s="613" t="s">
        <v>134</v>
      </c>
      <c r="H29" s="614"/>
      <c r="K29" s="128"/>
      <c r="M29" s="127"/>
      <c r="O29" s="129" t="s">
        <v>129</v>
      </c>
      <c r="P29" s="130" t="s">
        <v>134</v>
      </c>
      <c r="Q29" s="128"/>
      <c r="R29" s="62"/>
      <c r="T29" s="615" t="s">
        <v>164</v>
      </c>
      <c r="U29" s="615"/>
    </row>
    <row r="30" spans="1:22" ht="15.75" thickBot="1" x14ac:dyDescent="0.3">
      <c r="B30" s="61"/>
      <c r="C30" s="127"/>
      <c r="E30" s="131" t="s">
        <v>165</v>
      </c>
      <c r="F30" s="132" t="s">
        <v>166</v>
      </c>
      <c r="G30" s="131" t="s">
        <v>165</v>
      </c>
      <c r="H30" s="132" t="s">
        <v>166</v>
      </c>
      <c r="K30" s="128"/>
      <c r="M30" s="127"/>
      <c r="N30" s="133" t="s">
        <v>167</v>
      </c>
      <c r="O30" s="134" t="str">
        <f>IF(ISBLANK(E6), "Size Dependent", ROUND(12.5-(0.213*$E$6/1000), 1))</f>
        <v>Size Dependent</v>
      </c>
      <c r="P30" s="135" t="str">
        <f>IF(ISBLANK(E6), "Size Dependent", ROUND(12.3-(0.213*$E$6/1000), 1))</f>
        <v>Size Dependent</v>
      </c>
      <c r="Q30" s="136"/>
      <c r="R30" s="137"/>
      <c r="S30" s="138"/>
      <c r="T30" s="105" t="s">
        <v>153</v>
      </c>
      <c r="U30" s="106" t="str">
        <f>IF(E6&lt;7000,$D$31,IF(AND($E$6&gt;=7000,$E$6&lt;=15000),$D$32,D33))</f>
        <v>&lt;7,000</v>
      </c>
    </row>
    <row r="31" spans="1:22" x14ac:dyDescent="0.25">
      <c r="B31" s="61"/>
      <c r="C31" s="127"/>
      <c r="D31" s="139" t="s">
        <v>168</v>
      </c>
      <c r="E31" s="140">
        <f>ROUND(11.9*1.05,1)</f>
        <v>12.5</v>
      </c>
      <c r="F31" s="141">
        <f>ROUND(9.4*1.05,1)</f>
        <v>9.9</v>
      </c>
      <c r="G31" s="140">
        <f>ROUND(11.9*1.05,1)</f>
        <v>12.5</v>
      </c>
      <c r="H31" s="142">
        <f>ROUND(9.3*1.05,1)</f>
        <v>9.8000000000000007</v>
      </c>
      <c r="K31" s="128"/>
      <c r="M31" s="127"/>
      <c r="Q31" s="128"/>
      <c r="R31" s="62"/>
      <c r="T31" s="113" t="s">
        <v>169</v>
      </c>
      <c r="U31" s="143" t="e">
        <f>INDEX($E$31:$F$33,MATCH($U$30,$D$31:$D$33,0),MATCH($F$5,$E$30:$F$30,0))</f>
        <v>#N/A</v>
      </c>
    </row>
    <row r="32" spans="1:22" x14ac:dyDescent="0.25">
      <c r="B32" s="61"/>
      <c r="C32" s="127"/>
      <c r="D32" s="144" t="s">
        <v>170</v>
      </c>
      <c r="E32" s="145" t="str">
        <f>IF(ISBLANK(E6), "Size Dependent", ROUND((14 - (0.3 * $E$6/1000))*1.05, 1))</f>
        <v>Size Dependent</v>
      </c>
      <c r="F32" s="146" t="str">
        <f>IF(ISBLANK(E6), "Size Dependent", ROUND((10.9 - (0.213 * $E$6/1000))*1.05, 1))</f>
        <v>Size Dependent</v>
      </c>
      <c r="G32" s="145" t="str">
        <f>IF(ISBLANK(E6), "Size Dependent", ROUND((14 - (0.3 * $E$6/1000))*1.05, 1))</f>
        <v>Size Dependent</v>
      </c>
      <c r="H32" s="146" t="str">
        <f>IF(ISBLANK(E6), "Size Dependent", ROUND((10.8 - (0.213 * $E$6/1000))*1.05, 1))</f>
        <v>Size Dependent</v>
      </c>
      <c r="K32" s="128"/>
      <c r="M32" s="127"/>
      <c r="Q32" s="128"/>
      <c r="R32" s="62"/>
      <c r="T32" s="105" t="s">
        <v>160</v>
      </c>
      <c r="U32" s="147" t="b">
        <f>IF($E$5=$T$7,$O$30,IF($E$5=$T$8,P30))</f>
        <v>0</v>
      </c>
    </row>
    <row r="33" spans="2:21" ht="15.75" thickBot="1" x14ac:dyDescent="0.3">
      <c r="B33" s="61"/>
      <c r="C33" s="127"/>
      <c r="D33" s="148" t="s">
        <v>171</v>
      </c>
      <c r="E33" s="149">
        <f>ROUND(9.5*1.05,1)</f>
        <v>10</v>
      </c>
      <c r="F33" s="150">
        <f>ROUND(7.7*1.05,1)</f>
        <v>8.1</v>
      </c>
      <c r="G33" s="151">
        <f>ROUND(9.5*1.05,1)</f>
        <v>10</v>
      </c>
      <c r="H33" s="150">
        <f>ROUND(7.6*1.05,1)</f>
        <v>8</v>
      </c>
      <c r="K33" s="128"/>
      <c r="M33" s="127"/>
      <c r="Q33" s="128"/>
      <c r="R33" s="62"/>
      <c r="T33" s="122"/>
      <c r="U33" s="126"/>
    </row>
    <row r="34" spans="2:21" ht="15.75" thickBot="1" x14ac:dyDescent="0.3">
      <c r="B34" s="61"/>
      <c r="C34" s="127"/>
      <c r="K34" s="128"/>
      <c r="M34" s="127"/>
      <c r="Q34" s="128"/>
      <c r="R34" s="62"/>
    </row>
    <row r="35" spans="2:21" ht="15.75" thickBot="1" x14ac:dyDescent="0.3">
      <c r="B35" s="61"/>
      <c r="C35" s="127"/>
      <c r="E35" s="152" t="s">
        <v>138</v>
      </c>
      <c r="K35" s="128"/>
      <c r="M35" s="127"/>
      <c r="O35" s="153" t="s">
        <v>172</v>
      </c>
      <c r="Q35" s="128"/>
      <c r="R35" s="62"/>
      <c r="T35" s="601" t="s">
        <v>173</v>
      </c>
      <c r="U35" s="601"/>
    </row>
    <row r="36" spans="2:21" x14ac:dyDescent="0.25">
      <c r="B36" s="61"/>
      <c r="C36" s="127"/>
      <c r="D36" s="139" t="s">
        <v>174</v>
      </c>
      <c r="E36" s="154">
        <v>10.4</v>
      </c>
      <c r="K36" s="128"/>
      <c r="M36" s="127"/>
      <c r="N36" s="139" t="s">
        <v>174</v>
      </c>
      <c r="O36" s="155">
        <f>ROUND(9.7*0.9, 1)</f>
        <v>8.6999999999999993</v>
      </c>
      <c r="Q36" s="128"/>
      <c r="R36" s="62"/>
      <c r="T36" s="105" t="s">
        <v>153</v>
      </c>
      <c r="U36" s="106" t="str">
        <f>IF($E$6&lt;65000,$D$36,IF(AND($E$6&gt;=65000,$E$6&lt;135000),$D$37,IF(AND($E$6&gt;=135000,$E$6&lt;240000),$D$38,$D$39)))</f>
        <v>&lt;65,000</v>
      </c>
    </row>
    <row r="37" spans="2:21" x14ac:dyDescent="0.25">
      <c r="B37" s="61"/>
      <c r="C37" s="127"/>
      <c r="D37" s="144" t="s">
        <v>155</v>
      </c>
      <c r="E37" s="156">
        <v>11.5</v>
      </c>
      <c r="K37" s="128"/>
      <c r="M37" s="127"/>
      <c r="N37" s="144" t="s">
        <v>155</v>
      </c>
      <c r="O37" s="157">
        <v>10.1</v>
      </c>
      <c r="Q37" s="128"/>
      <c r="R37" s="62"/>
      <c r="T37" s="113" t="s">
        <v>169</v>
      </c>
      <c r="U37" s="143">
        <f>INDEX($E$36:$E$39,MATCH($U$36,$D$36:$D$39,0))</f>
        <v>10.4</v>
      </c>
    </row>
    <row r="38" spans="2:21" x14ac:dyDescent="0.25">
      <c r="B38" s="61"/>
      <c r="C38" s="127"/>
      <c r="D38" s="144" t="s">
        <v>175</v>
      </c>
      <c r="E38" s="156">
        <v>11.5</v>
      </c>
      <c r="K38" s="128"/>
      <c r="M38" s="127"/>
      <c r="N38" s="144" t="s">
        <v>175</v>
      </c>
      <c r="O38" s="157">
        <v>9.3000000000000007</v>
      </c>
      <c r="Q38" s="128"/>
      <c r="R38" s="62"/>
      <c r="T38" s="105" t="s">
        <v>160</v>
      </c>
      <c r="U38" s="147">
        <f>INDEX($O$36:$O$39,MATCH($U$36,$N$36:$N$39,0))</f>
        <v>8.6999999999999993</v>
      </c>
    </row>
    <row r="39" spans="2:21" ht="15.75" thickBot="1" x14ac:dyDescent="0.3">
      <c r="B39" s="61"/>
      <c r="C39" s="127"/>
      <c r="D39" s="148" t="s">
        <v>176</v>
      </c>
      <c r="E39" s="158">
        <v>11.5</v>
      </c>
      <c r="K39" s="128"/>
      <c r="M39" s="127"/>
      <c r="N39" s="148" t="s">
        <v>176</v>
      </c>
      <c r="O39" s="159">
        <v>9</v>
      </c>
      <c r="Q39" s="128"/>
      <c r="R39" s="62"/>
      <c r="T39" s="122"/>
      <c r="U39" s="125"/>
    </row>
    <row r="40" spans="2:21" ht="15.75" thickBot="1" x14ac:dyDescent="0.3">
      <c r="B40" s="61"/>
      <c r="C40" s="127"/>
      <c r="K40" s="128"/>
      <c r="M40" s="127"/>
      <c r="Q40" s="128"/>
      <c r="R40" s="62"/>
      <c r="T40" s="122"/>
      <c r="U40" s="126"/>
    </row>
    <row r="41" spans="2:21" ht="15.75" thickBot="1" x14ac:dyDescent="0.3">
      <c r="B41" s="61"/>
      <c r="C41" s="127"/>
      <c r="E41" s="153" t="s">
        <v>141</v>
      </c>
      <c r="K41" s="128"/>
      <c r="M41" s="127"/>
      <c r="O41" s="153" t="s">
        <v>141</v>
      </c>
      <c r="Q41" s="128"/>
      <c r="R41" s="62"/>
      <c r="T41" s="601" t="s">
        <v>141</v>
      </c>
      <c r="U41" s="601"/>
    </row>
    <row r="42" spans="2:21" x14ac:dyDescent="0.25">
      <c r="B42" s="61"/>
      <c r="C42" s="127"/>
      <c r="D42" s="139" t="s">
        <v>177</v>
      </c>
      <c r="E42" s="154">
        <v>14</v>
      </c>
      <c r="K42" s="128"/>
      <c r="M42" s="127"/>
      <c r="N42" s="139" t="s">
        <v>177</v>
      </c>
      <c r="O42" s="154">
        <v>11.2</v>
      </c>
      <c r="Q42" s="128"/>
      <c r="R42" s="62"/>
      <c r="T42" s="105" t="s">
        <v>153</v>
      </c>
      <c r="U42" s="106" t="str">
        <f>IF($E$6&lt;17000,$D$42,IF(AND($E$6&gt;=17000,$E$6&lt;135000),$D$43,IF($E$6&gt;=135000,$D$44,"Error")))</f>
        <v>&lt;17,000</v>
      </c>
    </row>
    <row r="43" spans="2:21" x14ac:dyDescent="0.25">
      <c r="B43" s="61"/>
      <c r="C43" s="127"/>
      <c r="D43" s="144" t="s">
        <v>178</v>
      </c>
      <c r="E43" s="156">
        <v>15</v>
      </c>
      <c r="K43" s="128"/>
      <c r="M43" s="127"/>
      <c r="N43" s="144" t="s">
        <v>178</v>
      </c>
      <c r="O43" s="156">
        <v>12</v>
      </c>
      <c r="Q43" s="128"/>
      <c r="R43" s="62"/>
      <c r="T43" s="113" t="s">
        <v>169</v>
      </c>
      <c r="U43" s="143">
        <f>INDEX($E$42:$E$44,MATCH($U$42,$D$42:$D$44,0))</f>
        <v>14</v>
      </c>
    </row>
    <row r="44" spans="2:21" ht="15.75" thickBot="1" x14ac:dyDescent="0.3">
      <c r="B44" s="61"/>
      <c r="C44" s="127"/>
      <c r="D44" s="148" t="s">
        <v>179</v>
      </c>
      <c r="E44" s="158">
        <v>15</v>
      </c>
      <c r="K44" s="128"/>
      <c r="M44" s="127"/>
      <c r="N44" s="148" t="s">
        <v>179</v>
      </c>
      <c r="O44" s="158">
        <v>12</v>
      </c>
      <c r="Q44" s="128"/>
      <c r="R44" s="62"/>
      <c r="T44" s="105" t="s">
        <v>160</v>
      </c>
      <c r="U44" s="147">
        <f>INDEX($O$42:$O$44,MATCH($U$42,$N$42:$N$44,0))</f>
        <v>11.2</v>
      </c>
    </row>
    <row r="45" spans="2:21" x14ac:dyDescent="0.25">
      <c r="B45" s="61"/>
      <c r="C45" s="160"/>
      <c r="D45" s="161"/>
      <c r="E45" s="161"/>
      <c r="F45" s="161"/>
      <c r="G45" s="161"/>
      <c r="H45" s="161"/>
      <c r="I45" s="161"/>
      <c r="J45" s="161"/>
      <c r="K45" s="162"/>
      <c r="M45" s="160"/>
      <c r="N45" s="161"/>
      <c r="O45" s="161"/>
      <c r="P45" s="161"/>
      <c r="Q45" s="162"/>
      <c r="R45" s="62"/>
      <c r="T45" s="122"/>
      <c r="U45" s="123"/>
    </row>
    <row r="46" spans="2:21" ht="39.950000000000003" customHeight="1" x14ac:dyDescent="0.25">
      <c r="B46" s="61"/>
      <c r="C46" s="610" t="s">
        <v>180</v>
      </c>
      <c r="D46" s="610"/>
      <c r="E46" s="610"/>
      <c r="F46" s="610"/>
      <c r="G46" s="610"/>
      <c r="H46" s="610"/>
      <c r="I46" s="610"/>
      <c r="J46" s="610"/>
      <c r="K46" s="610"/>
      <c r="L46" s="610"/>
      <c r="M46" s="610"/>
      <c r="N46" s="610"/>
      <c r="O46" s="610"/>
      <c r="R46" s="62"/>
      <c r="T46" s="122"/>
      <c r="U46" s="125"/>
    </row>
    <row r="47" spans="2:21" x14ac:dyDescent="0.25">
      <c r="B47" s="163"/>
      <c r="C47" s="164"/>
      <c r="D47" s="164"/>
      <c r="E47" s="164"/>
      <c r="F47" s="164"/>
      <c r="G47" s="164"/>
      <c r="H47" s="164"/>
      <c r="I47" s="164"/>
      <c r="J47" s="164"/>
      <c r="K47" s="164"/>
      <c r="L47" s="164"/>
      <c r="M47" s="164"/>
      <c r="N47" s="164"/>
      <c r="O47" s="164"/>
      <c r="P47" s="164"/>
      <c r="Q47" s="164"/>
      <c r="R47" s="165"/>
      <c r="T47" s="122"/>
      <c r="U47" s="126"/>
    </row>
  </sheetData>
  <sheetProtection selectLockedCells="1"/>
  <mergeCells count="52">
    <mergeCell ref="T29:U29"/>
    <mergeCell ref="T35:U35"/>
    <mergeCell ref="T41:U41"/>
    <mergeCell ref="C46:O46"/>
    <mergeCell ref="D26:D27"/>
    <mergeCell ref="E26:F26"/>
    <mergeCell ref="G26:H26"/>
    <mergeCell ref="I26:J27"/>
    <mergeCell ref="N26:N27"/>
    <mergeCell ref="O26:P26"/>
    <mergeCell ref="E27:F27"/>
    <mergeCell ref="G27:H27"/>
    <mergeCell ref="O27:P27"/>
    <mergeCell ref="E29:F29"/>
    <mergeCell ref="G29:H29"/>
    <mergeCell ref="D24:D25"/>
    <mergeCell ref="E24:F24"/>
    <mergeCell ref="G24:H24"/>
    <mergeCell ref="I24:J24"/>
    <mergeCell ref="N24:N25"/>
    <mergeCell ref="O24:P24"/>
    <mergeCell ref="E25:F25"/>
    <mergeCell ref="G25:H25"/>
    <mergeCell ref="I25:J25"/>
    <mergeCell ref="O25:P25"/>
    <mergeCell ref="D22:D23"/>
    <mergeCell ref="E22:F22"/>
    <mergeCell ref="G22:H22"/>
    <mergeCell ref="I22:J22"/>
    <mergeCell ref="N22:N23"/>
    <mergeCell ref="D20:D21"/>
    <mergeCell ref="E20:F20"/>
    <mergeCell ref="G20:H20"/>
    <mergeCell ref="I20:J20"/>
    <mergeCell ref="N20:N21"/>
    <mergeCell ref="E21:F21"/>
    <mergeCell ref="G21:H21"/>
    <mergeCell ref="I21:J21"/>
    <mergeCell ref="T17:V17"/>
    <mergeCell ref="O22:P23"/>
    <mergeCell ref="E23:F23"/>
    <mergeCell ref="G23:H23"/>
    <mergeCell ref="I23:J23"/>
    <mergeCell ref="O20:P21"/>
    <mergeCell ref="D18:D19"/>
    <mergeCell ref="N18:N19"/>
    <mergeCell ref="O18:O19"/>
    <mergeCell ref="P18:P19"/>
    <mergeCell ref="B1:R1"/>
    <mergeCell ref="E16:F16"/>
    <mergeCell ref="G16:H16"/>
    <mergeCell ref="I16:J16"/>
  </mergeCells>
  <conditionalFormatting sqref="F5">
    <cfRule type="expression" dxfId="13" priority="1">
      <formula>NOT(OR($E$5=$T$7,$E$5=$T$8))</formula>
    </cfRule>
  </conditionalFormatting>
  <conditionalFormatting sqref="G6 G8:H9 D9 G11:H12">
    <cfRule type="expression" dxfId="12" priority="3">
      <formula>NOT(OR($E$5=$T$5,$E$5=$T$6))</formula>
    </cfRule>
  </conditionalFormatting>
  <conditionalFormatting sqref="H5">
    <cfRule type="expression" dxfId="11" priority="7">
      <formula>IF(H5="fail", 1, 0)</formula>
    </cfRule>
  </conditionalFormatting>
  <conditionalFormatting sqref="H5:H6 H8:H9 H11:H12">
    <cfRule type="expression" dxfId="10" priority="11">
      <formula>IF(H5="pass", 1, 0)</formula>
    </cfRule>
  </conditionalFormatting>
  <conditionalFormatting sqref="H6 E9">
    <cfRule type="expression" dxfId="9" priority="2">
      <formula>NOT(OR($E$5=$T$5,$E$5=$T$6))</formula>
    </cfRule>
  </conditionalFormatting>
  <conditionalFormatting sqref="H6">
    <cfRule type="expression" dxfId="8" priority="10">
      <formula>IF(H6="fail", 1, 0)</formula>
    </cfRule>
  </conditionalFormatting>
  <conditionalFormatting sqref="H8">
    <cfRule type="expression" dxfId="7" priority="8">
      <formula>IF(H8="fail", 1, 0)</formula>
    </cfRule>
  </conditionalFormatting>
  <conditionalFormatting sqref="H8:H9 H5:H6 H11:H12">
    <cfRule type="cellIs" dxfId="6" priority="9" operator="equal">
      <formula>TRUE</formula>
    </cfRule>
  </conditionalFormatting>
  <conditionalFormatting sqref="H8:H9 H11:H12 H5:H6">
    <cfRule type="cellIs" dxfId="5" priority="6" operator="equal">
      <formula>FALSE</formula>
    </cfRule>
  </conditionalFormatting>
  <conditionalFormatting sqref="H9">
    <cfRule type="expression" dxfId="4" priority="5">
      <formula>IF(H9="fail", 1, 0)</formula>
    </cfRule>
  </conditionalFormatting>
  <conditionalFormatting sqref="H11:H12">
    <cfRule type="expression" dxfId="3" priority="4">
      <formula>IF(H11="fail", 1, 0)</formula>
    </cfRule>
  </conditionalFormatting>
  <dataValidations count="4">
    <dataValidation type="list" allowBlank="1" showInputMessage="1" showErrorMessage="1" sqref="E5" xr:uid="{2F0F427D-FDF1-4A5A-8D3B-80DD260AEA82}">
      <formula1>$T$5:$T$10</formula1>
    </dataValidation>
    <dataValidation type="list" allowBlank="1" showInputMessage="1" showErrorMessage="1" sqref="F5" xr:uid="{00676A91-46A1-43E9-A485-E6810811F564}">
      <formula1>$E$30:$F$30</formula1>
    </dataValidation>
    <dataValidation type="decimal" allowBlank="1" showInputMessage="1" showErrorMessage="1" sqref="E11" xr:uid="{E7036CEC-B58B-4290-A26A-EE3B75A46BB0}">
      <formula1>0</formula1>
      <formula2>1</formula2>
    </dataValidation>
    <dataValidation type="whole" allowBlank="1" showInputMessage="1" showErrorMessage="1" sqref="E12" xr:uid="{A595EABF-6745-47F9-BFCE-CA1EF6FBAAC2}">
      <formula1>0</formula1>
      <formula2>8760</formula2>
    </dataValidation>
  </dataValidations>
  <pageMargins left="0.7" right="0.7" top="0.75" bottom="0.75" header="0.3" footer="0.3"/>
  <pageSetup scale="66" fitToHeight="0" orientation="landscape" r:id="rId1"/>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75AACB-90BE-45CC-9FB1-6E15A12EDF0A}">
          <x14:formula1>
            <xm:f>AC_HP_EFLH_CF!$A$7:$A$15</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28DC-77E5-482B-A31C-1413F9583AC9}">
  <sheetPr>
    <pageSetUpPr autoPageBreaks="0"/>
  </sheetPr>
  <dimension ref="A1:C17"/>
  <sheetViews>
    <sheetView zoomScaleNormal="100" workbookViewId="0">
      <selection activeCell="A21" sqref="A21"/>
    </sheetView>
  </sheetViews>
  <sheetFormatPr defaultColWidth="2.7109375" defaultRowHeight="15" x14ac:dyDescent="0.25"/>
  <cols>
    <col min="1" max="1" width="80.7109375" bestFit="1" customWidth="1"/>
    <col min="2" max="3" width="6.5703125" bestFit="1" customWidth="1"/>
  </cols>
  <sheetData>
    <row r="1" spans="1:3" x14ac:dyDescent="0.25">
      <c r="A1" s="616" t="s">
        <v>109</v>
      </c>
      <c r="B1" s="616"/>
      <c r="C1" s="616"/>
    </row>
    <row r="3" spans="1:3" ht="49.5" customHeight="1" x14ac:dyDescent="0.25">
      <c r="A3" s="617" t="s">
        <v>110</v>
      </c>
      <c r="B3" s="617"/>
      <c r="C3" s="617"/>
    </row>
    <row r="5" spans="1:3" s="57" customFormat="1" ht="15" customHeight="1" x14ac:dyDescent="0.25">
      <c r="A5" s="55" t="s">
        <v>111</v>
      </c>
      <c r="B5" s="56"/>
      <c r="C5" s="56"/>
    </row>
    <row r="6" spans="1:3" x14ac:dyDescent="0.25">
      <c r="A6" s="36" t="s">
        <v>49</v>
      </c>
      <c r="B6" s="36" t="s">
        <v>53</v>
      </c>
      <c r="C6" s="36" t="s">
        <v>52</v>
      </c>
    </row>
    <row r="7" spans="1:3" x14ac:dyDescent="0.25">
      <c r="A7" s="58" t="s">
        <v>50</v>
      </c>
      <c r="B7" s="59">
        <v>2594</v>
      </c>
      <c r="C7" s="60">
        <v>0.38</v>
      </c>
    </row>
    <row r="8" spans="1:3" x14ac:dyDescent="0.25">
      <c r="A8" s="58" t="s">
        <v>8</v>
      </c>
      <c r="B8" s="59">
        <v>2549</v>
      </c>
      <c r="C8" s="60">
        <v>0.43</v>
      </c>
    </row>
    <row r="9" spans="1:3" x14ac:dyDescent="0.25">
      <c r="A9" s="58" t="s">
        <v>10</v>
      </c>
      <c r="B9" s="59">
        <v>1531</v>
      </c>
      <c r="C9" s="60">
        <v>0.27</v>
      </c>
    </row>
    <row r="10" spans="1:3" x14ac:dyDescent="0.25">
      <c r="A10" s="58" t="s">
        <v>12</v>
      </c>
      <c r="B10" s="59">
        <v>4891</v>
      </c>
      <c r="C10" s="60">
        <v>0.55000000000000004</v>
      </c>
    </row>
    <row r="11" spans="1:3" x14ac:dyDescent="0.25">
      <c r="A11" s="58" t="s">
        <v>51</v>
      </c>
      <c r="B11" s="59">
        <v>4910</v>
      </c>
      <c r="C11" s="60">
        <v>0.6</v>
      </c>
    </row>
    <row r="12" spans="1:3" x14ac:dyDescent="0.25">
      <c r="A12" s="58" t="s">
        <v>7</v>
      </c>
      <c r="B12" s="59">
        <v>2754</v>
      </c>
      <c r="C12" s="60">
        <v>0.48</v>
      </c>
    </row>
    <row r="13" spans="1:3" x14ac:dyDescent="0.25">
      <c r="A13" s="58" t="s">
        <v>9</v>
      </c>
      <c r="B13" s="59">
        <v>2451</v>
      </c>
      <c r="C13" s="60">
        <v>0.4</v>
      </c>
    </row>
    <row r="14" spans="1:3" x14ac:dyDescent="0.25">
      <c r="A14" s="58" t="s">
        <v>11</v>
      </c>
      <c r="B14" s="59">
        <v>1913</v>
      </c>
      <c r="C14" s="60">
        <v>0.28999999999999998</v>
      </c>
    </row>
    <row r="15" spans="1:3" x14ac:dyDescent="0.25">
      <c r="A15" s="58" t="s">
        <v>13</v>
      </c>
      <c r="B15" s="59">
        <v>1033</v>
      </c>
      <c r="C15" s="60">
        <v>0.01</v>
      </c>
    </row>
    <row r="16" spans="1:3" x14ac:dyDescent="0.25">
      <c r="A16" s="618" t="s">
        <v>112</v>
      </c>
      <c r="B16" s="618"/>
      <c r="C16" s="618"/>
    </row>
    <row r="17" spans="1:3" ht="29.25" customHeight="1" x14ac:dyDescent="0.25">
      <c r="A17" s="619" t="s">
        <v>113</v>
      </c>
      <c r="B17" s="619"/>
      <c r="C17" s="619"/>
    </row>
  </sheetData>
  <sheetProtection selectLockedCells="1"/>
  <mergeCells count="4">
    <mergeCell ref="A1:C1"/>
    <mergeCell ref="A3:C3"/>
    <mergeCell ref="A16:C16"/>
    <mergeCell ref="A17:C17"/>
  </mergeCells>
  <pageMargins left="0.7" right="0.7" top="0.75" bottom="0.75" header="0.3" footer="0.3"/>
  <pageSetup orientation="portrait" r:id="rId1"/>
  <headerFooter>
    <oddHeader>&amp;C&amp;"Arial,Regular"&amp;09&amp;I&amp;K000000Leidos Proprietary</oddHeader>
    <oddFooter>&amp;C&amp;"Calibri,Regular"&amp;11</oddFooter>
    <evenHeader>&amp;C&amp;"Arial,Regular"&amp;09&amp;I&amp;K000000Leidos Proprietary</evenHeader>
    <evenFooter>&amp;C&amp;"Calibri,Regular"&amp;11</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mdvdm48L1VzZXJOYW1lPjxEYXRlVGltZT43LzMvMjAxOCAxMjowNTo1MCBBTTwvRGF0ZVRpbWU+PExhYmVsU3RyaW5nPlVucmVzdHJpY3RlZDwvTGFiZWxTdHJpbmc+PC9pdGVtPjwvbGFiZWxIaXN0b3J5Pg==</Value>
</WrappedLabelHistory>
</file>

<file path=customXml/itemProps1.xml><?xml version="1.0" encoding="utf-8"?>
<ds:datastoreItem xmlns:ds="http://schemas.openxmlformats.org/officeDocument/2006/customXml" ds:itemID="{82121AC3-7DDB-4094-B060-BA015351749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B6396F5-66D2-403C-8606-6D4AB572EA1F}">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Summary</vt:lpstr>
      <vt:lpstr>Chiller</vt:lpstr>
      <vt:lpstr>AC_HP</vt:lpstr>
      <vt:lpstr>IVRF</vt:lpstr>
      <vt:lpstr>GuestRoomEMS</vt:lpstr>
      <vt:lpstr>VFD</vt:lpstr>
      <vt:lpstr>AC_HP_Savings</vt:lpstr>
      <vt:lpstr>AC_HP_EFLH_CF</vt:lpstr>
      <vt:lpstr>Chiller!Print_Area</vt:lpstr>
      <vt:lpstr>GuestRoomEMS!Print_Area</vt:lpstr>
      <vt:lpstr>IVRF!Print_Area</vt:lpstr>
      <vt:lpstr>Summary!Print_Area</vt:lpstr>
      <vt:lpstr>VFD!Print_Area</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Unrestricted</dc:subject>
  <dc:creator>wongcal</dc:creator>
  <cp:lastModifiedBy>Ngo, Vinh-Phong N. [US-US]</cp:lastModifiedBy>
  <cp:lastPrinted>2019-03-06T20:57:52Z</cp:lastPrinted>
  <dcterms:created xsi:type="dcterms:W3CDTF">2012-07-21T01:54:28Z</dcterms:created>
  <dcterms:modified xsi:type="dcterms:W3CDTF">2025-07-02T19:16:43Z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cb9feb85-57eb-4fcd-aab5-5d57f25351a6</vt:lpwstr>
  </property>
  <property fmtid="{D5CDD505-2E9C-101B-9397-08002B2CF9AE}" pid="3" name="bjSaver">
    <vt:lpwstr>G3ikdu48ttcEijIqm8mmgifimqM5dooD</vt:lpwstr>
  </property>
  <property fmtid="{D5CDD505-2E9C-101B-9397-08002B2CF9AE}" pid="4" name="bjDocumentSecurityLabel">
    <vt:lpwstr>Unrestricted</vt:lpwstr>
  </property>
  <property fmtid="{D5CDD505-2E9C-101B-9397-08002B2CF9AE}" pid="5" name="bjLabelHistoryID">
    <vt:lpwstr>{DB6396F5-66D2-403C-8606-6D4AB572EA1F}</vt:lpwstr>
  </property>
  <property fmtid="{D5CDD505-2E9C-101B-9397-08002B2CF9AE}" pid="6"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7" name="bjDocumentLabelXML-0">
    <vt:lpwstr>ames.com/2008/01/sie/internal/label"&gt;&lt;element uid="42834bfb-1ec1-4beb-bd64-eb83fb3cb3f3" value="" /&gt;&lt;/sisl&gt;</vt:lpwstr>
  </property>
  <property fmtid="{D5CDD505-2E9C-101B-9397-08002B2CF9AE}" pid="8" name="MSIP_Label_e9182208-fc20-436a-a999-9f7d673923e8_Enabled">
    <vt:lpwstr>true</vt:lpwstr>
  </property>
  <property fmtid="{D5CDD505-2E9C-101B-9397-08002B2CF9AE}" pid="9" name="MSIP_Label_e9182208-fc20-436a-a999-9f7d673923e8_SetDate">
    <vt:lpwstr>2025-01-29T00:36:50Z</vt:lpwstr>
  </property>
  <property fmtid="{D5CDD505-2E9C-101B-9397-08002B2CF9AE}" pid="10" name="MSIP_Label_e9182208-fc20-436a-a999-9f7d673923e8_Method">
    <vt:lpwstr>Privileged</vt:lpwstr>
  </property>
  <property fmtid="{D5CDD505-2E9C-101B-9397-08002B2CF9AE}" pid="11" name="MSIP_Label_e9182208-fc20-436a-a999-9f7d673923e8_Name">
    <vt:lpwstr>Leidos Proprietary</vt:lpwstr>
  </property>
  <property fmtid="{D5CDD505-2E9C-101B-9397-08002B2CF9AE}" pid="12" name="MSIP_Label_e9182208-fc20-436a-a999-9f7d673923e8_SiteId">
    <vt:lpwstr>b64da4ac-e800-4cfc-8931-e607f720a1b8</vt:lpwstr>
  </property>
  <property fmtid="{D5CDD505-2E9C-101B-9397-08002B2CF9AE}" pid="13" name="MSIP_Label_e9182208-fc20-436a-a999-9f7d673923e8_ActionId">
    <vt:lpwstr>7829f47b-e82a-4957-8a27-035345b7430c</vt:lpwstr>
  </property>
  <property fmtid="{D5CDD505-2E9C-101B-9397-08002B2CF9AE}" pid="14" name="MSIP_Label_e9182208-fc20-436a-a999-9f7d673923e8_ContentBits">
    <vt:lpwstr>3</vt:lpwstr>
  </property>
</Properties>
</file>