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839bu-fp01\1839-HON\Applications,Worksheets, and Flyers\Commercial PY25\Worksheets\"/>
    </mc:Choice>
  </mc:AlternateContent>
  <xr:revisionPtr revIDLastSave="0" documentId="13_ncr:1_{7A2839E6-704A-42EB-982C-B53C3D0E46E9}" xr6:coauthVersionLast="47" xr6:coauthVersionMax="47" xr10:uidLastSave="{00000000-0000-0000-0000-000000000000}"/>
  <workbookProtection workbookAlgorithmName="SHA-512" workbookHashValue="Bt6s4EtQvZGGXebNf7ZbZKzJM9GtHaLg7604Sz2WconrRKVcYBwhaWkBhfeyHzF/SCqW4kP03y7Ze5B8+BzVmA==" workbookSaltValue="KwPJVSd3zTsT62SGI5EyVw==" workbookSpinCount="100000" lockStructure="1"/>
  <bookViews>
    <workbookView xWindow="-120" yWindow="-120" windowWidth="29040" windowHeight="15720" tabRatio="631" xr2:uid="{00000000-000D-0000-FFFF-FFFF00000000}"/>
  </bookViews>
  <sheets>
    <sheet name="Residential-size" sheetId="3" r:id="rId1"/>
    <sheet name="Commercial-size" sheetId="1" r:id="rId2"/>
    <sheet name="Lookup" sheetId="2" state="hidden" r:id="rId3"/>
  </sheets>
  <definedNames>
    <definedName name="BTUtokWh">Lookup!$B$9</definedName>
    <definedName name="C_p">Lookup!$B$11</definedName>
    <definedName name="CF">'Residential-size'!$G$29</definedName>
    <definedName name="EFLH">'Residential-size'!$G$28</definedName>
    <definedName name="FacilityType">'Residential-size'!$C$27</definedName>
    <definedName name="HWPerSqFt">'Residential-size'!$G$27</definedName>
    <definedName name="MissingValues">'Residential-size'!$M$11</definedName>
    <definedName name="Quantity">'Residential-size'!$C$11</definedName>
    <definedName name="rho">Lookup!$B$10</definedName>
    <definedName name="SqFt">'Residential-size'!$C$32</definedName>
    <definedName name="T_Out">Lookup!$B$12</definedName>
    <definedName name="UEF_BL">'Residential-size'!$G$20</definedName>
    <definedName name="UEF_EE">'Residential-size'!$C$24</definedName>
    <definedName name="Volume_BaseERWH">'Residential-size'!$C$20</definedName>
    <definedName name="WaterTemp_Inlet">'Residential-size'!$C$36</definedName>
    <definedName name="WaterTemp_Outlet">'Residential-size'!$C$40</definedName>
    <definedName name="Z_15EC6CF7_CE45_48CB_B686_A1BB5EA0E178_.wvu.PrintArea" localSheetId="1" hidden="1">'Commercial-size'!$B$1:$E$1</definedName>
  </definedNames>
  <calcPr calcId="191029" iterateDelta="1E-4"/>
  <customWorkbookViews>
    <customWorkbookView name="Customer View" guid="{15EC6CF7-CE45-48CB-B686-A1BB5EA0E178}" includeHiddenRowCol="0" maximized="1" xWindow="1" yWindow="1" windowWidth="1680" windowHeight="696" tabRatio="23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M44" i="3"/>
  <c r="N44" i="3" s="1"/>
  <c r="O32" i="3" a="1"/>
  <c r="O32" i="3" s="1"/>
  <c r="C20" i="3"/>
  <c r="O31" i="3" s="1"/>
  <c r="O33" i="3" l="1"/>
  <c r="O34" i="3"/>
  <c r="E17" i="3"/>
  <c r="G29" i="3"/>
  <c r="G28" i="3"/>
  <c r="M11" i="3" s="1" a="1"/>
  <c r="M11" i="3" s="1"/>
  <c r="I43" i="3" s="1"/>
  <c r="F19" i="2"/>
  <c r="F13" i="2" s="1"/>
  <c r="P11" i="1" s="1"/>
  <c r="L11" i="1" s="1"/>
  <c r="F20" i="1"/>
  <c r="N17" i="1" s="1"/>
  <c r="C16" i="1"/>
  <c r="L17" i="1" s="1"/>
  <c r="G27" i="3" l="1"/>
  <c r="T44" i="3" s="1"/>
  <c r="N11" i="1"/>
  <c r="G20" i="3" l="1"/>
  <c r="P44" i="3" s="1"/>
  <c r="N14" i="1"/>
  <c r="L14" i="1"/>
  <c r="R44" i="3" l="1"/>
  <c r="I44" i="3"/>
  <c r="I45" i="3"/>
  <c r="I13" i="1"/>
  <c r="I14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<sst xmlns="http://schemas.openxmlformats.org/spreadsheetml/2006/main" count="181" uniqueCount="147">
  <si>
    <t>Maui</t>
  </si>
  <si>
    <t>Warehouse</t>
  </si>
  <si>
    <t>Retail</t>
  </si>
  <si>
    <t>Restaurant</t>
  </si>
  <si>
    <t>Facility Type</t>
  </si>
  <si>
    <t>Island</t>
  </si>
  <si>
    <t>Hawaiʻi</t>
  </si>
  <si>
    <t>Oʻahu</t>
  </si>
  <si>
    <t>Lānaʻi</t>
  </si>
  <si>
    <t>Molokaʻi</t>
  </si>
  <si>
    <t>Cold Storage</t>
  </si>
  <si>
    <t>Education</t>
  </si>
  <si>
    <t>Grocery</t>
  </si>
  <si>
    <t>Health</t>
  </si>
  <si>
    <t>Hotel/Motel</t>
  </si>
  <si>
    <t>Industrial</t>
  </si>
  <si>
    <t>Office</t>
  </si>
  <si>
    <t>Misc. Commercial</t>
  </si>
  <si>
    <t>EFLH</t>
  </si>
  <si>
    <t>CF</t>
  </si>
  <si>
    <t>Varies</t>
  </si>
  <si>
    <t>(gal/sqft)/yr</t>
  </si>
  <si>
    <t>BTU/kWh</t>
  </si>
  <si>
    <t>COP</t>
  </si>
  <si>
    <t>Solar</t>
  </si>
  <si>
    <t>Existing Type</t>
  </si>
  <si>
    <t>Annual Energy Savings</t>
  </si>
  <si>
    <t>Peak Demand Reduction</t>
  </si>
  <si>
    <t>Total Project Cost</t>
  </si>
  <si>
    <t>Cost of Base Alternative</t>
  </si>
  <si>
    <t>System Loss Factors</t>
  </si>
  <si>
    <t>Customer kWh</t>
  </si>
  <si>
    <t>Customer kW</t>
  </si>
  <si>
    <t>System kWh</t>
  </si>
  <si>
    <t>System kW</t>
  </si>
  <si>
    <t>Notes</t>
  </si>
  <si>
    <t>gal</t>
  </si>
  <si>
    <t>SqFt</t>
  </si>
  <si>
    <r>
      <t>HW</t>
    </r>
    <r>
      <rPr>
        <vertAlign val="subscript"/>
        <sz val="11"/>
        <color theme="1"/>
        <rFont val="Calibri"/>
        <family val="2"/>
        <scheme val="minor"/>
      </rPr>
      <t>per SqFt</t>
    </r>
    <r>
      <rPr>
        <sz val="11"/>
        <color theme="1"/>
        <rFont val="Calibri"/>
        <family val="2"/>
        <scheme val="minor"/>
      </rPr>
      <t xml:space="preserve"> = </t>
    </r>
  </si>
  <si>
    <t xml:space="preserve">EFLH = </t>
  </si>
  <si>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F</t>
    </r>
  </si>
  <si>
    <t xml:space="preserve">CF = </t>
  </si>
  <si>
    <t>Enter inlet temperature of the water heater:</t>
  </si>
  <si>
    <t xml:space="preserve">Site EFLH = </t>
  </si>
  <si>
    <t>Missing Values?</t>
  </si>
  <si>
    <t>Base Case Water Heater Type</t>
  </si>
  <si>
    <t>Missing Total Output?</t>
  </si>
  <si>
    <t xml:space="preserve">Account Name : </t>
  </si>
  <si>
    <t xml:space="preserve">Application # : </t>
  </si>
  <si>
    <t xml:space="preserve">Project Name : </t>
  </si>
  <si>
    <t>Enter outlet temperature of the water heater:</t>
  </si>
  <si>
    <r>
      <t>Defaults: 75</t>
    </r>
    <r>
      <rPr>
        <i/>
        <sz val="9"/>
        <color theme="1"/>
        <rFont val="Calibri"/>
        <family val="2"/>
      </rPr>
      <t>°</t>
    </r>
    <r>
      <rPr>
        <i/>
        <sz val="9"/>
        <color theme="1"/>
        <rFont val="Calibri"/>
        <family val="2"/>
        <scheme val="minor"/>
      </rPr>
      <t>F for Honolulu and Hawai‘i Counties. 71°F for Maui County</t>
    </r>
  </si>
  <si>
    <t>Enter Quantity of new Heat Pump Water Heaters:</t>
  </si>
  <si>
    <r>
      <t>Default: 120</t>
    </r>
    <r>
      <rPr>
        <i/>
        <sz val="9"/>
        <color theme="1"/>
        <rFont val="Calibri"/>
        <family val="2"/>
      </rPr>
      <t>°</t>
    </r>
    <r>
      <rPr>
        <i/>
        <sz val="9"/>
        <color theme="1"/>
        <rFont val="Calibri"/>
        <family val="2"/>
        <scheme val="minor"/>
      </rPr>
      <t>F</t>
    </r>
  </si>
  <si>
    <t>Multifamily</t>
  </si>
  <si>
    <t>New Constuction</t>
  </si>
  <si>
    <t>HPWH Brand / Model</t>
  </si>
  <si>
    <t># of Units</t>
  </si>
  <si>
    <t>Island &lt;for input water temp&gt;</t>
  </si>
  <si>
    <t>Enter square footage of area served by water heater:</t>
  </si>
  <si>
    <t>Enter UEF for new heat pump water heater:</t>
  </si>
  <si>
    <t>Base Case WH: COP</t>
  </si>
  <si>
    <t>Annual Energy Savings:</t>
  </si>
  <si>
    <t>Peak Demand Reduction:</t>
  </si>
  <si>
    <t>Central Heat Pump</t>
  </si>
  <si>
    <t>Integrated Heat Pump (w/ tank)</t>
  </si>
  <si>
    <t>Base Case WH: COP Override</t>
  </si>
  <si>
    <t>&lt;If known&gt;</t>
  </si>
  <si>
    <t>Rated Output per Unit (BTU/h)</t>
  </si>
  <si>
    <t>Total Output 
(BTU/h)</t>
  </si>
  <si>
    <t>Inlet water temp</t>
  </si>
  <si>
    <t>https://files.hawaii.gov/dbedt/economic/reports/Overcrowding_in_Hawaii_Housing.pdf</t>
  </si>
  <si>
    <t>gal/person/day</t>
  </si>
  <si>
    <t>sqft/person</t>
  </si>
  <si>
    <t>sqft</t>
  </si>
  <si>
    <t>Facility Size (Sqft)</t>
  </si>
  <si>
    <t>Gal/yr</t>
  </si>
  <si>
    <t>Constants</t>
  </si>
  <si>
    <t>Water density</t>
  </si>
  <si>
    <t>lbm/gal</t>
  </si>
  <si>
    <t>Btu/lbm°F</t>
  </si>
  <si>
    <t>BTU to kWh</t>
  </si>
  <si>
    <t>Specific heat capacity of water</t>
  </si>
  <si>
    <t>Temperature out</t>
  </si>
  <si>
    <t>°F</t>
  </si>
  <si>
    <t>gal/sqft/yr</t>
  </si>
  <si>
    <t>COP of Each Unit</t>
  </si>
  <si>
    <t>Enter Rated Storage Tank Volume (Per Unit):</t>
  </si>
  <si>
    <t>kW</t>
  </si>
  <si>
    <t>kWh</t>
  </si>
  <si>
    <t>Gal</t>
  </si>
  <si>
    <t>Min HPWH</t>
  </si>
  <si>
    <t>Max HPWH</t>
  </si>
  <si>
    <t>gal (override)</t>
  </si>
  <si>
    <r>
      <t>Requirement:</t>
    </r>
    <r>
      <rPr>
        <i/>
        <sz val="11"/>
        <color theme="1"/>
        <rFont val="Calibri"/>
        <family val="2"/>
        <scheme val="minor"/>
      </rPr>
      <t xml:space="preserve"> COP &gt; 3.0, NEEA Listed</t>
    </r>
  </si>
  <si>
    <t>&lt;Choose ER for New Construction&gt;</t>
  </si>
  <si>
    <t xml:space="preserve">Calculation of multifamily gal/sqft/yr value: </t>
  </si>
  <si>
    <t>Value</t>
  </si>
  <si>
    <t>Unit</t>
  </si>
  <si>
    <t>Source</t>
  </si>
  <si>
    <t>HI Energy TRM Residential Water Heater/AEG 2018 Benchmark*</t>
  </si>
  <si>
    <t>*ASHRAE Handbook lists 30 gal/person. Chose conservative value.</t>
  </si>
  <si>
    <r>
      <t>Requirement:</t>
    </r>
    <r>
      <rPr>
        <i/>
        <sz val="11"/>
        <rFont val="Calibri"/>
        <family val="2"/>
        <scheme val="minor"/>
      </rPr>
      <t xml:space="preserve"> New Heat Pump Water Heater (HWPH) is ENERGY STAR listed</t>
    </r>
    <r>
      <rPr>
        <b/>
        <i/>
        <sz val="11"/>
        <rFont val="Calibri"/>
        <family val="2"/>
        <scheme val="minor"/>
      </rPr>
      <t xml:space="preserve">. </t>
    </r>
  </si>
  <si>
    <t>Electric Resistance</t>
  </si>
  <si>
    <t>Draw Pattern</t>
  </si>
  <si>
    <t>FHR &lt;</t>
  </si>
  <si>
    <t>FHR &gt;=</t>
  </si>
  <si>
    <t>Very-Small-Usage</t>
  </si>
  <si>
    <t>Low-Usage</t>
  </si>
  <si>
    <t>Medium-Usage</t>
  </si>
  <si>
    <t>High-Usage</t>
  </si>
  <si>
    <t>GPM &gt;=</t>
  </si>
  <si>
    <t>GPM &lt;</t>
  </si>
  <si>
    <t xml:space="preserve">UEF = </t>
  </si>
  <si>
    <t>Enter First Hour Rating (FHR) or Gallons Per Minute (GPM) Rating</t>
  </si>
  <si>
    <t>Flow Rating</t>
  </si>
  <si>
    <t>FHR</t>
  </si>
  <si>
    <t>GPM</t>
  </si>
  <si>
    <t>If known, enter volume of existing base case electric storage water heater:</t>
  </si>
  <si>
    <t>&gt;55 Gal</t>
  </si>
  <si>
    <t>&lt;=55 Gal</t>
  </si>
  <si>
    <t>A</t>
  </si>
  <si>
    <t>B</t>
  </si>
  <si>
    <t>Federal Min UEF for ER Base Case (A-B*vol)</t>
  </si>
  <si>
    <t xml:space="preserve">Draw Pattern: </t>
  </si>
  <si>
    <t xml:space="preserve">A: </t>
  </si>
  <si>
    <t xml:space="preserve">B: </t>
  </si>
  <si>
    <t xml:space="preserve">Base volume: </t>
  </si>
  <si>
    <t>Count only outdoor condensing units for split systems.</t>
  </si>
  <si>
    <t>&lt;No federal min. Estimates COP of base case&gt;</t>
  </si>
  <si>
    <t>Select facility type from dropdown list:</t>
  </si>
  <si>
    <t>First Hour Rating*</t>
  </si>
  <si>
    <t>Gallons Per Minute*</t>
  </si>
  <si>
    <t>ER Size*</t>
  </si>
  <si>
    <t xml:space="preserve">*Equivalent ER tanks size and FHR/GPM to Draw Pattern relations from CA eTRM measure SWWH031 </t>
  </si>
  <si>
    <t xml:space="preserve">(Heat Pump Water Heater, Commercial) - https://www.caetrm.com/measure/SWWH031/04/ </t>
  </si>
  <si>
    <t>Total Incentive Requested:</t>
  </si>
  <si>
    <r>
      <t xml:space="preserve">Heat Pump Water Heating Incentive Worksheet 
</t>
    </r>
    <r>
      <rPr>
        <i/>
        <sz val="11"/>
        <rFont val="Calibri"/>
        <family val="2"/>
        <scheme val="minor"/>
      </rPr>
      <t>120V or 240V systems with a current rating under 24 amperes.</t>
    </r>
    <r>
      <rPr>
        <b/>
        <sz val="14"/>
        <rFont val="Calibri"/>
        <family val="2"/>
        <scheme val="minor"/>
      </rPr>
      <t xml:space="preserve">
</t>
    </r>
    <r>
      <rPr>
        <sz val="12"/>
        <rFont val="Calibri"/>
        <family val="2"/>
        <scheme val="minor"/>
      </rPr>
      <t xml:space="preserve">Effective </t>
    </r>
    <r>
      <rPr>
        <sz val="12"/>
        <color rgb="FFC00000"/>
        <rFont val="Calibri"/>
        <family val="2"/>
        <scheme val="minor"/>
      </rPr>
      <t>July 1, 2025</t>
    </r>
    <r>
      <rPr>
        <sz val="12"/>
        <rFont val="Calibri"/>
        <family val="2"/>
        <scheme val="minor"/>
      </rPr>
      <t xml:space="preserve"> to </t>
    </r>
    <r>
      <rPr>
        <sz val="12"/>
        <color rgb="FFC00000"/>
        <rFont val="Calibri"/>
        <family val="2"/>
        <scheme val="minor"/>
      </rPr>
      <t>June 30, 2026</t>
    </r>
    <r>
      <rPr>
        <sz val="12"/>
        <rFont val="Calibri"/>
        <family val="2"/>
        <scheme val="minor"/>
      </rPr>
      <t xml:space="preserve">. </t>
    </r>
    <r>
      <rPr>
        <sz val="6"/>
        <rFont val="Calibri"/>
        <family val="2"/>
        <scheme val="minor"/>
      </rPr>
      <t>(WKS_C_WH_HP_PY25_1VPN)</t>
    </r>
  </si>
  <si>
    <r>
      <t xml:space="preserve">Heat Pump Water Heating Incentive Worksheet 
</t>
    </r>
    <r>
      <rPr>
        <i/>
        <sz val="11"/>
        <rFont val="Calibri"/>
        <family val="2"/>
        <scheme val="minor"/>
      </rPr>
      <t>Heat Pump Water Heaters (HPWH) that operate with a current rating greater than 24 amperes or a voltage greater than 250 volts.</t>
    </r>
    <r>
      <rPr>
        <b/>
        <sz val="14"/>
        <rFont val="Calibri"/>
        <family val="2"/>
        <scheme val="minor"/>
      </rPr>
      <t xml:space="preserve">
</t>
    </r>
    <r>
      <rPr>
        <sz val="12"/>
        <rFont val="Calibri"/>
        <family val="2"/>
        <scheme val="minor"/>
      </rPr>
      <t xml:space="preserve">Effective </t>
    </r>
    <r>
      <rPr>
        <sz val="12"/>
        <color rgb="FFC00000"/>
        <rFont val="Calibri"/>
        <family val="2"/>
        <scheme val="minor"/>
      </rPr>
      <t>July 1, 2025</t>
    </r>
    <r>
      <rPr>
        <sz val="12"/>
        <rFont val="Calibri"/>
        <family val="2"/>
        <scheme val="minor"/>
      </rPr>
      <t xml:space="preserve"> to </t>
    </r>
    <r>
      <rPr>
        <sz val="12"/>
        <color rgb="FFC00000"/>
        <rFont val="Calibri"/>
        <family val="2"/>
        <scheme val="minor"/>
      </rPr>
      <t>June 30, 2026</t>
    </r>
    <r>
      <rPr>
        <sz val="12"/>
        <rFont val="Calibri"/>
        <family val="2"/>
        <scheme val="minor"/>
      </rPr>
      <t xml:space="preserve">. </t>
    </r>
    <r>
      <rPr>
        <sz val="6"/>
        <rFont val="Calibri"/>
        <family val="2"/>
        <scheme val="minor"/>
      </rPr>
      <t>(WKS_C_WH_HP_PY25_1VPN)</t>
    </r>
  </si>
  <si>
    <t>Incentive Rate</t>
  </si>
  <si>
    <t>Prescriptive&lt;55</t>
  </si>
  <si>
    <t>Prescriptive&gt;=55</t>
  </si>
  <si>
    <t>NA</t>
  </si>
  <si>
    <t>$/kWh OR $/unit</t>
  </si>
  <si>
    <t>$/kW</t>
  </si>
  <si>
    <t>Custom</t>
  </si>
  <si>
    <t>Incentive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</si>
</sst>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#,##0.00\ &quot;kWh&quot;"/>
    <numFmt numFmtId="166" formatCode="#,##0.000"/>
    <numFmt numFmtId="167" formatCode="#,##0.000\ &quot;kW&quot;"/>
    <numFmt numFmtId="168" formatCode="_(&quot;$&quot;* #,##0_);_(&quot;$&quot;* \(#,##0\);_(&quot;$&quot;* &quot;-&quot;??_);_(@_)"/>
    <numFmt numFmtId="169" formatCode="0.0%"/>
    <numFmt numFmtId="170" formatCode="#,##0.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6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theme="1"/>
      <name val="Calibri"/>
      <family val="2"/>
    </font>
    <font>
      <i/>
      <sz val="11"/>
      <name val="Calibri"/>
      <family val="2"/>
      <scheme val="minor"/>
    </font>
    <font>
      <sz val="12"/>
      <color rgb="FFC0000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CE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vertical="center"/>
    </xf>
    <xf numFmtId="0" fontId="4" fillId="0" borderId="0" xfId="3" applyFont="1" applyFill="1" applyBorder="1" applyAlignment="1" applyProtection="1">
      <alignment horizontal="left" vertical="center" wrapText="1"/>
    </xf>
    <xf numFmtId="3" fontId="0" fillId="0" borderId="1" xfId="0" applyNumberFormat="1" applyFont="1" applyFill="1" applyBorder="1" applyAlignment="1" applyProtection="1">
      <alignment horizontal="center" vertical="center"/>
    </xf>
    <xf numFmtId="3" fontId="0" fillId="0" borderId="0" xfId="0" applyNumberFormat="1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right" vertical="center"/>
    </xf>
    <xf numFmtId="0" fontId="0" fillId="0" borderId="8" xfId="0" applyFont="1" applyBorder="1" applyAlignment="1" applyProtection="1">
      <alignment vertical="center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0" fillId="2" borderId="1" xfId="0" applyFont="1" applyFill="1" applyBorder="1" applyAlignment="1" applyProtection="1">
      <alignment horizontal="center" vertical="center"/>
      <protection locked="0"/>
    </xf>
    <xf numFmtId="3" fontId="0" fillId="2" borderId="1" xfId="0" applyNumberFormat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0" fillId="0" borderId="1" xfId="0" applyFont="1" applyFill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left" vertical="center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3" fontId="0" fillId="2" borderId="1" xfId="6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vertical="center"/>
    </xf>
    <xf numFmtId="0" fontId="4" fillId="0" borderId="0" xfId="3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vertical="center"/>
    </xf>
    <xf numFmtId="0" fontId="7" fillId="7" borderId="1" xfId="0" applyFont="1" applyFill="1" applyBorder="1" applyAlignment="1" applyProtection="1">
      <alignment horizontal="center" vertical="center"/>
    </xf>
    <xf numFmtId="0" fontId="0" fillId="7" borderId="1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13" fillId="7" borderId="1" xfId="0" applyFont="1" applyFill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4" fontId="9" fillId="0" borderId="1" xfId="0" applyNumberFormat="1" applyFont="1" applyBorder="1" applyAlignment="1" applyProtection="1">
      <alignment horizontal="center" vertical="center"/>
    </xf>
    <xf numFmtId="3" fontId="9" fillId="0" borderId="1" xfId="0" applyNumberFormat="1" applyFont="1" applyBorder="1" applyAlignment="1" applyProtection="1">
      <alignment horizontal="center" vertical="center"/>
    </xf>
    <xf numFmtId="3" fontId="12" fillId="0" borderId="0" xfId="0" applyNumberFormat="1" applyFont="1" applyAlignment="1" applyProtection="1">
      <alignment horizontal="center" vertical="center"/>
    </xf>
    <xf numFmtId="3" fontId="12" fillId="0" borderId="0" xfId="0" applyNumberFormat="1" applyFont="1" applyAlignment="1" applyProtection="1">
      <alignment horizontal="right" vertical="center"/>
    </xf>
    <xf numFmtId="0" fontId="15" fillId="0" borderId="0" xfId="0" applyFont="1" applyAlignment="1" applyProtection="1">
      <alignment horizontal="left" vertical="center" indent="1"/>
    </xf>
    <xf numFmtId="0" fontId="9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168" fontId="0" fillId="2" borderId="1" xfId="0" applyNumberFormat="1" applyFont="1" applyFill="1" applyBorder="1" applyAlignment="1" applyProtection="1">
      <alignment horizontal="center" vertical="center"/>
      <protection locked="0"/>
    </xf>
    <xf numFmtId="165" fontId="9" fillId="0" borderId="1" xfId="0" applyNumberFormat="1" applyFont="1" applyFill="1" applyBorder="1" applyAlignment="1" applyProtection="1">
      <alignment horizontal="center" vertical="center"/>
    </xf>
    <xf numFmtId="167" fontId="9" fillId="0" borderId="1" xfId="0" applyNumberFormat="1" applyFont="1" applyBorder="1" applyAlignment="1" applyProtection="1">
      <alignment horizontal="center" vertic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top" wrapText="1"/>
    </xf>
    <xf numFmtId="0" fontId="0" fillId="6" borderId="0" xfId="0" applyFont="1" applyFill="1" applyAlignment="1" applyProtection="1">
      <alignment horizontal="left" vertical="top" wrapText="1"/>
    </xf>
    <xf numFmtId="0" fontId="13" fillId="0" borderId="0" xfId="0" applyFont="1" applyFill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0" fontId="0" fillId="0" borderId="1" xfId="0" applyFont="1" applyFill="1" applyBorder="1" applyAlignment="1" applyProtection="1">
      <alignment horizontal="center" vertical="center"/>
    </xf>
    <xf numFmtId="170" fontId="0" fillId="0" borderId="1" xfId="0" applyNumberFormat="1" applyFont="1" applyFill="1" applyBorder="1" applyAlignment="1" applyProtection="1">
      <alignment horizontal="center" vertical="center"/>
    </xf>
    <xf numFmtId="2" fontId="0" fillId="2" borderId="1" xfId="6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right" vertical="center"/>
    </xf>
    <xf numFmtId="0" fontId="0" fillId="7" borderId="14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0" fontId="0" fillId="7" borderId="17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7" borderId="1" xfId="0" applyFill="1" applyBorder="1" applyAlignment="1" applyProtection="1">
      <alignment vertical="center"/>
    </xf>
    <xf numFmtId="0" fontId="0" fillId="7" borderId="6" xfId="0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16" xfId="0" applyFont="1" applyFill="1" applyBorder="1" applyAlignment="1" applyProtection="1">
      <alignment vertical="center"/>
    </xf>
    <xf numFmtId="0" fontId="0" fillId="7" borderId="1" xfId="0" applyFill="1" applyBorder="1" applyAlignment="1" applyProtection="1">
      <alignment horizontal="right" vertical="center"/>
    </xf>
    <xf numFmtId="0" fontId="0" fillId="0" borderId="2" xfId="0" applyFont="1" applyBorder="1" applyAlignment="1" applyProtection="1">
      <alignment vertical="center"/>
    </xf>
    <xf numFmtId="0" fontId="0" fillId="7" borderId="1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 wrapText="1"/>
    </xf>
    <xf numFmtId="9" fontId="11" fillId="0" borderId="0" xfId="5" applyFont="1" applyFill="1" applyBorder="1" applyAlignment="1" applyProtection="1">
      <alignment horizontal="left" vertical="center"/>
    </xf>
    <xf numFmtId="44" fontId="10" fillId="0" borderId="0" xfId="0" applyNumberFormat="1" applyFont="1" applyFill="1" applyBorder="1" applyAlignment="1" applyProtection="1">
      <alignment horizontal="center" vertical="center"/>
    </xf>
    <xf numFmtId="44" fontId="10" fillId="8" borderId="18" xfId="0" applyNumberFormat="1" applyFont="1" applyFill="1" applyBorder="1" applyAlignment="1" applyProtection="1">
      <alignment horizontal="center" vertical="center"/>
    </xf>
    <xf numFmtId="9" fontId="11" fillId="5" borderId="18" xfId="5" applyFont="1" applyFill="1" applyBorder="1" applyAlignment="1" applyProtection="1">
      <alignment horizontal="right" vertical="center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4" fillId="4" borderId="3" xfId="3" applyFont="1" applyFill="1" applyBorder="1" applyAlignment="1" applyProtection="1">
      <alignment horizontal="center" vertical="center"/>
    </xf>
    <xf numFmtId="0" fontId="4" fillId="4" borderId="5" xfId="3" applyFont="1" applyFill="1" applyBorder="1" applyAlignment="1" applyProtection="1">
      <alignment horizontal="center" vertical="center"/>
    </xf>
    <xf numFmtId="0" fontId="5" fillId="0" borderId="3" xfId="3" applyFont="1" applyFill="1" applyBorder="1" applyAlignment="1" applyProtection="1">
      <alignment horizontal="left" vertical="center" wrapText="1"/>
    </xf>
    <xf numFmtId="0" fontId="5" fillId="0" borderId="4" xfId="3" applyFont="1" applyFill="1" applyBorder="1" applyAlignment="1" applyProtection="1">
      <alignment horizontal="left" vertical="center" wrapText="1"/>
    </xf>
    <xf numFmtId="0" fontId="5" fillId="0" borderId="5" xfId="3" applyFont="1" applyFill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0" fillId="2" borderId="2" xfId="0" applyFont="1" applyFill="1" applyBorder="1" applyAlignment="1" applyProtection="1">
      <alignment horizontal="center" vertical="center"/>
      <protection locked="0"/>
    </xf>
    <xf numFmtId="43" fontId="9" fillId="8" borderId="12" xfId="6" applyFont="1" applyFill="1" applyBorder="1" applyAlignment="1" applyProtection="1">
      <alignment horizontal="center" wrapText="1"/>
    </xf>
    <xf numFmtId="43" fontId="9" fillId="8" borderId="1" xfId="6" applyFont="1" applyFill="1" applyBorder="1" applyAlignment="1" applyProtection="1">
      <alignment horizontal="center" wrapText="1"/>
    </xf>
    <xf numFmtId="0" fontId="11" fillId="5" borderId="3" xfId="0" applyFont="1" applyFill="1" applyBorder="1" applyAlignment="1" applyProtection="1">
      <alignment horizontal="right" wrapText="1"/>
    </xf>
    <xf numFmtId="0" fontId="11" fillId="5" borderId="4" xfId="0" applyFont="1" applyFill="1" applyBorder="1" applyAlignment="1" applyProtection="1">
      <alignment horizontal="right" wrapText="1"/>
    </xf>
    <xf numFmtId="44" fontId="10" fillId="8" borderId="19" xfId="0" applyNumberFormat="1" applyFont="1" applyFill="1" applyBorder="1" applyAlignment="1" applyProtection="1">
      <alignment horizontal="center" wrapText="1"/>
    </xf>
    <xf numFmtId="44" fontId="10" fillId="8" borderId="20" xfId="0" applyNumberFormat="1" applyFont="1" applyFill="1" applyBorder="1" applyAlignment="1" applyProtection="1">
      <alignment horizontal="center" wrapText="1"/>
    </xf>
    <xf numFmtId="0" fontId="0" fillId="7" borderId="6" xfId="0" applyFill="1" applyBorder="1" applyAlignment="1" applyProtection="1">
      <alignment horizontal="center" vertical="center"/>
    </xf>
    <xf numFmtId="0" fontId="0" fillId="7" borderId="9" xfId="0" applyFill="1" applyBorder="1" applyAlignment="1" applyProtection="1">
      <alignment horizontal="center" vertical="center"/>
    </xf>
    <xf numFmtId="0" fontId="0" fillId="7" borderId="7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0" fillId="7" borderId="1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left" vertical="top" wrapText="1"/>
      <protection locked="0"/>
    </xf>
    <xf numFmtId="0" fontId="0" fillId="2" borderId="9" xfId="0" applyFont="1" applyFill="1" applyBorder="1" applyAlignment="1" applyProtection="1">
      <alignment horizontal="left" vertical="top" wrapText="1"/>
      <protection locked="0"/>
    </xf>
    <xf numFmtId="0" fontId="0" fillId="2" borderId="7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left" vertical="center"/>
    </xf>
    <xf numFmtId="0" fontId="13" fillId="3" borderId="1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20" fillId="3" borderId="11" xfId="0" applyFont="1" applyFill="1" applyBorder="1" applyAlignment="1" applyProtection="1">
      <alignment vertical="center"/>
    </xf>
    <xf numFmtId="0" fontId="13" fillId="3" borderId="12" xfId="0" applyFont="1" applyFill="1" applyBorder="1" applyAlignment="1" applyProtection="1">
      <alignment vertical="center"/>
    </xf>
    <xf numFmtId="0" fontId="13" fillId="3" borderId="10" xfId="0" applyFont="1" applyFill="1" applyBorder="1" applyAlignment="1" applyProtection="1">
      <alignment vertical="center"/>
    </xf>
    <xf numFmtId="0" fontId="13" fillId="3" borderId="0" xfId="0" applyFont="1" applyFill="1" applyBorder="1" applyAlignment="1" applyProtection="1">
      <alignment horizontal="center" vertical="center"/>
    </xf>
    <xf numFmtId="0" fontId="13" fillId="0" borderId="0" xfId="0" applyFont="1" applyProtection="1"/>
    <xf numFmtId="0" fontId="13" fillId="3" borderId="1" xfId="0" applyFont="1" applyFill="1" applyBorder="1" applyAlignment="1" applyProtection="1">
      <alignment vertical="center"/>
    </xf>
    <xf numFmtId="0" fontId="13" fillId="0" borderId="1" xfId="0" applyFont="1" applyBorder="1" applyAlignment="1" applyProtection="1">
      <alignment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vertical="center"/>
    </xf>
    <xf numFmtId="2" fontId="13" fillId="0" borderId="1" xfId="0" applyNumberFormat="1" applyFont="1" applyBorder="1" applyAlignment="1" applyProtection="1">
      <alignment horizontal="right" vertical="center"/>
    </xf>
    <xf numFmtId="1" fontId="13" fillId="0" borderId="1" xfId="6" applyNumberFormat="1" applyFont="1" applyBorder="1" applyAlignment="1" applyProtection="1">
      <alignment horizontal="center" vertical="center"/>
    </xf>
    <xf numFmtId="2" fontId="13" fillId="0" borderId="6" xfId="6" applyNumberFormat="1" applyFont="1" applyBorder="1" applyAlignment="1" applyProtection="1">
      <alignment horizontal="center" vertical="center"/>
    </xf>
    <xf numFmtId="44" fontId="13" fillId="0" borderId="1" xfId="7" applyNumberFormat="1" applyFont="1" applyBorder="1" applyAlignment="1" applyProtection="1">
      <alignment vertical="center"/>
    </xf>
    <xf numFmtId="0" fontId="13" fillId="0" borderId="1" xfId="0" applyFont="1" applyBorder="1" applyProtection="1"/>
    <xf numFmtId="169" fontId="13" fillId="0" borderId="1" xfId="5" applyNumberFormat="1" applyFont="1" applyBorder="1" applyProtection="1"/>
    <xf numFmtId="44" fontId="13" fillId="0" borderId="1" xfId="0" applyNumberFormat="1" applyFont="1" applyBorder="1" applyAlignment="1" applyProtection="1">
      <alignment vertical="center"/>
    </xf>
    <xf numFmtId="0" fontId="13" fillId="3" borderId="10" xfId="0" applyFont="1" applyFill="1" applyBorder="1" applyAlignment="1" applyProtection="1">
      <alignment horizontal="center" vertical="center"/>
    </xf>
    <xf numFmtId="0" fontId="13" fillId="3" borderId="2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Protection="1"/>
    <xf numFmtId="0" fontId="13" fillId="0" borderId="13" xfId="0" applyFont="1" applyBorder="1" applyAlignment="1" applyProtection="1">
      <alignment vertical="center"/>
    </xf>
    <xf numFmtId="2" fontId="13" fillId="0" borderId="14" xfId="0" applyNumberFormat="1" applyFont="1" applyBorder="1" applyAlignment="1" applyProtection="1">
      <alignment vertical="center"/>
    </xf>
    <xf numFmtId="1" fontId="13" fillId="0" borderId="14" xfId="6" applyNumberFormat="1" applyFont="1" applyBorder="1" applyAlignment="1" applyProtection="1">
      <alignment horizontal="center" vertical="center"/>
    </xf>
    <xf numFmtId="2" fontId="13" fillId="0" borderId="15" xfId="6" applyNumberFormat="1" applyFont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1" fillId="7" borderId="1" xfId="0" applyFont="1" applyFill="1" applyBorder="1" applyAlignment="1" applyProtection="1">
      <alignment horizontal="right"/>
    </xf>
    <xf numFmtId="0" fontId="21" fillId="7" borderId="1" xfId="0" applyFont="1" applyFill="1" applyBorder="1" applyProtection="1"/>
    <xf numFmtId="0" fontId="13" fillId="0" borderId="1" xfId="0" applyFont="1" applyFill="1" applyBorder="1" applyAlignment="1" applyProtection="1">
      <alignment horizontal="right" vertical="center"/>
    </xf>
    <xf numFmtId="2" fontId="13" fillId="0" borderId="1" xfId="0" applyNumberFormat="1" applyFont="1" applyBorder="1" applyProtection="1"/>
    <xf numFmtId="3" fontId="13" fillId="0" borderId="0" xfId="0" applyNumberFormat="1" applyFont="1" applyProtection="1"/>
    <xf numFmtId="3" fontId="0" fillId="2" borderId="7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/>
    <xf numFmtId="0" fontId="0" fillId="0" borderId="16" xfId="0" applyFill="1" applyBorder="1" applyAlignment="1" applyProtection="1"/>
    <xf numFmtId="168" fontId="0" fillId="0" borderId="1" xfId="0" applyNumberFormat="1" applyFont="1" applyFill="1" applyBorder="1" applyAlignment="1" applyProtection="1">
      <alignment horizontal="right" vertical="center"/>
    </xf>
  </cellXfs>
  <cellStyles count="10">
    <cellStyle name="Comma" xfId="6" builtinId="3"/>
    <cellStyle name="Comma 2" xfId="9" xr:uid="{5372191E-DD70-435C-BDA6-A2CD43485082}"/>
    <cellStyle name="Currency" xfId="7" builtinId="4"/>
    <cellStyle name="Currency 2" xfId="2" xr:uid="{00000000-0005-0000-0000-000002000000}"/>
    <cellStyle name="Currency 3" xfId="8" xr:uid="{00000000-0005-0000-0000-000003000000}"/>
    <cellStyle name="Normal" xfId="0" builtinId="0"/>
    <cellStyle name="Normal 2" xfId="1" xr:uid="{00000000-0005-0000-0000-000005000000}"/>
    <cellStyle name="Normal_Motors" xfId="3" xr:uid="{00000000-0005-0000-0000-000006000000}"/>
    <cellStyle name="Percent" xfId="5" builtinId="5"/>
    <cellStyle name="Percent 2" xfId="4" xr:uid="{00000000-0005-0000-0000-000009000000}"/>
  </cellStyles>
  <dxfs count="11"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>
          <bgColor theme="4" tint="0.79998168889431442"/>
        </patternFill>
      </fill>
    </dxf>
    <dxf>
      <font>
        <color theme="0"/>
      </font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colors>
    <mruColors>
      <color rgb="FF00BCE4"/>
      <color rgb="FF00B2E4"/>
      <color rgb="FF0000FF"/>
      <color rgb="FF37CB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38100</xdr:rowOff>
    </xdr:from>
    <xdr:to>
      <xdr:col>2</xdr:col>
      <xdr:colOff>499110</xdr:colOff>
      <xdr:row>0</xdr:row>
      <xdr:rowOff>910590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08613BC-C2AB-4CAA-A7A9-D61C98B8D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8100"/>
          <a:ext cx="876300" cy="8648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0</xdr:row>
      <xdr:rowOff>152019</xdr:rowOff>
    </xdr:from>
    <xdr:to>
      <xdr:col>2</xdr:col>
      <xdr:colOff>893157</xdr:colOff>
      <xdr:row>0</xdr:row>
      <xdr:rowOff>786324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52019"/>
          <a:ext cx="2874357" cy="6343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F31FF3-7344-4AD8-B4D0-6617EA7B3717}" name="Table1" displayName="Table1" ref="E1:H13" totalsRowShown="0" headerRowDxfId="1" dataDxfId="0" headerRowBorderDxfId="10" tableBorderDxfId="9" totalsRowBorderDxfId="8">
  <autoFilter ref="E1:H13" xr:uid="{CEF31FF3-7344-4AD8-B4D0-6617EA7B3717}"/>
  <tableColumns count="4">
    <tableColumn id="1" xr3:uid="{E6513431-17E6-4EAC-9A5F-C24492C836E5}" name="Facility Type" dataDxfId="5"/>
    <tableColumn id="2" xr3:uid="{EC0673C5-2E83-47F1-9673-622309A783C8}" name="(gal/sqft)/yr" dataDxfId="4"/>
    <tableColumn id="3" xr3:uid="{A53912A2-A285-4024-9383-476511436786}" name="EFLH" dataDxfId="3" dataCellStyle="Comma"/>
    <tableColumn id="4" xr3:uid="{0D74B244-8937-483C-8C24-9CF29CA535F4}" name="CF" dataDxfId="2" dataCellStyle="Comma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4955E-4799-4E59-927E-2FAF6F024FEF}">
  <sheetPr codeName="Sheet35">
    <pageSetUpPr autoPageBreaks="0"/>
  </sheetPr>
  <dimension ref="B1:Z45"/>
  <sheetViews>
    <sheetView showGridLines="0" tabSelected="1" zoomScaleNormal="100" workbookViewId="0">
      <selection activeCell="D3" sqref="D3:F3"/>
    </sheetView>
  </sheetViews>
  <sheetFormatPr defaultColWidth="8.7109375" defaultRowHeight="15" customHeight="1" x14ac:dyDescent="0.25"/>
  <cols>
    <col min="1" max="1" width="2.7109375" style="33" customWidth="1"/>
    <col min="2" max="2" width="6.7109375" style="33" customWidth="1"/>
    <col min="3" max="3" width="8.7109375" style="18" customWidth="1"/>
    <col min="4" max="4" width="8.7109375" style="33" customWidth="1"/>
    <col min="5" max="5" width="4.7109375" style="33" customWidth="1"/>
    <col min="6" max="6" width="10.7109375" style="34" customWidth="1"/>
    <col min="7" max="7" width="10.7109375" style="33" customWidth="1"/>
    <col min="8" max="8" width="10.85546875" style="33" bestFit="1" customWidth="1"/>
    <col min="9" max="9" width="14.140625" style="33" customWidth="1"/>
    <col min="10" max="10" width="8.7109375" style="33"/>
    <col min="11" max="11" width="2.7109375" style="33" customWidth="1"/>
    <col min="12" max="12" width="12.85546875" style="33" customWidth="1"/>
    <col min="13" max="13" width="17.85546875" style="33" hidden="1" customWidth="1"/>
    <col min="14" max="14" width="13.85546875" style="33" hidden="1" customWidth="1"/>
    <col min="15" max="15" width="16.85546875" style="33" hidden="1" customWidth="1"/>
    <col min="16" max="16" width="14.140625" style="33" hidden="1" customWidth="1"/>
    <col min="17" max="17" width="10.140625" style="33" hidden="1" customWidth="1"/>
    <col min="18" max="19" width="8.7109375" style="33" hidden="1" customWidth="1"/>
    <col min="20" max="20" width="16.85546875" style="33" hidden="1" customWidth="1"/>
    <col min="21" max="21" width="2.28515625" style="33" hidden="1" customWidth="1"/>
    <col min="22" max="22" width="16.85546875" style="33" hidden="1" customWidth="1"/>
    <col min="23" max="24" width="13.5703125" style="33" hidden="1" customWidth="1"/>
    <col min="25" max="25" width="12.42578125" style="33" hidden="1" customWidth="1"/>
    <col min="26" max="26" width="10" style="33" hidden="1" customWidth="1"/>
    <col min="27" max="16384" width="8.7109375" style="33"/>
  </cols>
  <sheetData>
    <row r="1" spans="2:16" ht="75" customHeight="1" thickBot="1" x14ac:dyDescent="0.3">
      <c r="B1" s="79"/>
      <c r="C1" s="80"/>
      <c r="D1" s="81" t="s">
        <v>137</v>
      </c>
      <c r="E1" s="82"/>
      <c r="F1" s="82"/>
      <c r="G1" s="82"/>
      <c r="H1" s="82"/>
      <c r="I1" s="82"/>
      <c r="J1" s="83"/>
    </row>
    <row r="3" spans="2:16" s="1" customFormat="1" x14ac:dyDescent="0.25">
      <c r="C3" s="2" t="s">
        <v>47</v>
      </c>
      <c r="D3" s="86"/>
      <c r="E3" s="86"/>
      <c r="F3" s="86"/>
      <c r="H3" s="2" t="s">
        <v>49</v>
      </c>
      <c r="I3" s="86"/>
      <c r="J3" s="86"/>
      <c r="K3" s="29"/>
      <c r="N3" s="11"/>
      <c r="O3" s="5"/>
      <c r="P3" s="5"/>
    </row>
    <row r="4" spans="2:16" s="1" customFormat="1" x14ac:dyDescent="0.25">
      <c r="J4" s="5"/>
      <c r="K4" s="29"/>
      <c r="N4" s="5"/>
      <c r="O4" s="5"/>
      <c r="P4" s="5"/>
    </row>
    <row r="5" spans="2:16" s="1" customFormat="1" x14ac:dyDescent="0.25">
      <c r="C5" s="2" t="s">
        <v>48</v>
      </c>
      <c r="D5" s="86"/>
      <c r="E5" s="86"/>
      <c r="F5" s="86"/>
      <c r="J5" s="5"/>
      <c r="K5" s="29"/>
      <c r="N5" s="11"/>
      <c r="O5" s="5"/>
      <c r="P5" s="5"/>
    </row>
    <row r="6" spans="2:16" s="1" customFormat="1" x14ac:dyDescent="0.25">
      <c r="G6" s="53"/>
      <c r="H6" s="53"/>
      <c r="J6" s="70"/>
      <c r="K6" s="29"/>
    </row>
    <row r="7" spans="2:16" s="1" customFormat="1" x14ac:dyDescent="0.25">
      <c r="B7" s="12"/>
      <c r="C7" s="12"/>
      <c r="D7" s="12"/>
      <c r="E7" s="12"/>
      <c r="F7" s="12"/>
      <c r="G7" s="13"/>
      <c r="H7" s="13"/>
      <c r="I7" s="12"/>
      <c r="J7" s="5"/>
      <c r="K7" s="29"/>
    </row>
    <row r="8" spans="2:16" s="1" customFormat="1" ht="27.6" customHeight="1" x14ac:dyDescent="0.25">
      <c r="B8" s="84" t="s">
        <v>102</v>
      </c>
      <c r="C8" s="85"/>
      <c r="D8" s="85"/>
      <c r="E8" s="85"/>
      <c r="F8" s="85"/>
      <c r="G8" s="85"/>
      <c r="H8" s="85"/>
      <c r="I8" s="85"/>
      <c r="J8" s="85"/>
      <c r="K8" s="52"/>
    </row>
    <row r="9" spans="2:16" s="1" customFormat="1" ht="15" customHeight="1" x14ac:dyDescent="0.25">
      <c r="B9" s="72"/>
      <c r="C9" s="72"/>
      <c r="D9" s="72"/>
      <c r="E9" s="72"/>
      <c r="F9" s="72"/>
      <c r="G9" s="72"/>
      <c r="H9" s="72"/>
      <c r="I9" s="72"/>
      <c r="J9" s="72"/>
      <c r="K9" s="52"/>
    </row>
    <row r="10" spans="2:16" ht="15" customHeight="1" x14ac:dyDescent="0.25">
      <c r="B10" s="33" t="s">
        <v>52</v>
      </c>
      <c r="M10" s="35" t="s">
        <v>44</v>
      </c>
    </row>
    <row r="11" spans="2:16" ht="29.25" customHeight="1" x14ac:dyDescent="0.25">
      <c r="C11" s="15"/>
      <c r="E11" s="96" t="s">
        <v>128</v>
      </c>
      <c r="F11" s="96"/>
      <c r="G11" s="96"/>
      <c r="H11" s="96"/>
      <c r="I11" s="96"/>
      <c r="M11" s="36" t="b" cm="1">
        <f t="array" ref="M11">OR(ISBLANK(Quantity),ISBLANK(Volume_BaseERWH),ISBLANK(SolarFraction),ISBLANK(FacilityType),EFLH="Varies",ISBLANK(SqFt),ISBLANK(WaterTemp_Inlet),ISBLANK(WaterTemp_Outlet))</f>
        <v>1</v>
      </c>
    </row>
    <row r="12" spans="2:16" ht="15" customHeight="1" x14ac:dyDescent="0.25">
      <c r="C12" s="33"/>
    </row>
    <row r="13" spans="2:16" ht="15" customHeight="1" x14ac:dyDescent="0.25">
      <c r="B13" s="58" t="s">
        <v>87</v>
      </c>
      <c r="C13" s="59"/>
      <c r="D13" s="58"/>
      <c r="E13" s="58"/>
      <c r="F13" s="60"/>
      <c r="G13" s="58"/>
      <c r="H13" s="58"/>
      <c r="I13" s="58"/>
      <c r="J13" s="58"/>
      <c r="K13" s="58"/>
      <c r="L13" s="58"/>
      <c r="M13" s="58"/>
      <c r="N13" s="58"/>
    </row>
    <row r="14" spans="2:16" ht="15" customHeight="1" x14ac:dyDescent="0.25">
      <c r="B14" s="58"/>
      <c r="C14" s="15"/>
      <c r="D14" s="58" t="s">
        <v>36</v>
      </c>
      <c r="E14" s="58"/>
      <c r="F14" s="60"/>
      <c r="G14" s="58"/>
      <c r="H14" s="58"/>
      <c r="I14" s="58"/>
      <c r="J14" s="58"/>
      <c r="K14" s="58"/>
      <c r="L14" s="58"/>
      <c r="M14" s="58"/>
      <c r="N14" s="58"/>
    </row>
    <row r="16" spans="2:16" ht="15" customHeight="1" x14ac:dyDescent="0.25">
      <c r="B16" s="33" t="s">
        <v>114</v>
      </c>
      <c r="M16" s="53"/>
      <c r="N16" s="53"/>
      <c r="O16" s="53"/>
    </row>
    <row r="17" spans="2:26" ht="15" customHeight="1" x14ac:dyDescent="0.25">
      <c r="C17" s="15"/>
      <c r="D17" s="15"/>
      <c r="E17" s="33" t="str">
        <f>IF(C17="FHR","Gallons",IF(C17="GPM", "Gallons per Minute",""))</f>
        <v/>
      </c>
      <c r="M17" s="64"/>
      <c r="N17" s="64"/>
      <c r="O17" s="64"/>
    </row>
    <row r="18" spans="2:26" ht="15" customHeight="1" x14ac:dyDescent="0.25">
      <c r="M18" s="63" t="s">
        <v>91</v>
      </c>
      <c r="N18" s="63" t="s">
        <v>92</v>
      </c>
      <c r="O18" s="63" t="s">
        <v>133</v>
      </c>
    </row>
    <row r="19" spans="2:26" ht="15" customHeight="1" x14ac:dyDescent="0.25">
      <c r="B19" s="58" t="s">
        <v>118</v>
      </c>
      <c r="C19" s="59"/>
      <c r="D19" s="58"/>
      <c r="E19" s="58"/>
      <c r="F19" s="60"/>
      <c r="G19" s="58"/>
      <c r="H19" s="58"/>
      <c r="I19" s="58"/>
      <c r="J19" s="58"/>
      <c r="K19" s="58"/>
      <c r="M19" s="47">
        <v>45</v>
      </c>
      <c r="N19" s="36">
        <v>55</v>
      </c>
      <c r="O19" s="47">
        <v>50</v>
      </c>
      <c r="P19" s="36" t="s">
        <v>90</v>
      </c>
    </row>
    <row r="20" spans="2:26" ht="15" customHeight="1" x14ac:dyDescent="0.25">
      <c r="B20" s="58"/>
      <c r="C20" s="55" t="str">
        <f>IF(C14="","",_xlfn.XLOOKUP(C14,M19:M21,O19:O21,"",-1))</f>
        <v/>
      </c>
      <c r="D20" s="58" t="s">
        <v>36</v>
      </c>
      <c r="E20" s="58"/>
      <c r="F20" s="60" t="s">
        <v>113</v>
      </c>
      <c r="G20" s="62" t="str">
        <f>IFERROR(O33-O34*O31,"")</f>
        <v/>
      </c>
      <c r="H20" s="58"/>
      <c r="I20" s="58"/>
      <c r="J20" s="58"/>
      <c r="K20" s="58"/>
      <c r="M20" s="47">
        <v>56</v>
      </c>
      <c r="N20" s="36">
        <v>75</v>
      </c>
      <c r="O20" s="47">
        <v>60</v>
      </c>
      <c r="P20" s="36" t="s">
        <v>90</v>
      </c>
    </row>
    <row r="21" spans="2:26" ht="15" customHeight="1" x14ac:dyDescent="0.25">
      <c r="B21" s="58"/>
      <c r="C21" s="15"/>
      <c r="D21" s="58" t="s">
        <v>93</v>
      </c>
      <c r="E21" s="58"/>
      <c r="F21" s="60"/>
      <c r="G21" s="13"/>
      <c r="H21" s="58"/>
      <c r="I21" s="58"/>
      <c r="J21" s="58"/>
      <c r="K21" s="58"/>
      <c r="M21" s="47">
        <v>76</v>
      </c>
      <c r="N21" s="36"/>
      <c r="O21" s="47">
        <v>80</v>
      </c>
      <c r="P21" s="36" t="s">
        <v>90</v>
      </c>
    </row>
    <row r="22" spans="2:26" ht="15" customHeight="1" x14ac:dyDescent="0.25">
      <c r="G22" s="58"/>
      <c r="H22" s="58"/>
      <c r="I22" s="58"/>
      <c r="J22" s="58"/>
      <c r="K22" s="58"/>
      <c r="W22" s="97" t="s">
        <v>123</v>
      </c>
      <c r="X22" s="97"/>
      <c r="Y22" s="97"/>
      <c r="Z22" s="97"/>
    </row>
    <row r="23" spans="2:26" ht="15" customHeight="1" x14ac:dyDescent="0.25">
      <c r="B23" s="33" t="s">
        <v>60</v>
      </c>
      <c r="M23" s="93" t="s">
        <v>131</v>
      </c>
      <c r="N23" s="94"/>
      <c r="O23" s="94"/>
      <c r="P23" s="67"/>
      <c r="R23" s="93" t="s">
        <v>132</v>
      </c>
      <c r="S23" s="94"/>
      <c r="T23" s="95"/>
      <c r="U23" s="67"/>
      <c r="W23" s="97" t="s">
        <v>120</v>
      </c>
      <c r="X23" s="97"/>
      <c r="Y23" s="97" t="s">
        <v>119</v>
      </c>
      <c r="Z23" s="97"/>
    </row>
    <row r="24" spans="2:26" ht="15" customHeight="1" x14ac:dyDescent="0.25">
      <c r="C24" s="22"/>
      <c r="M24" s="61" t="s">
        <v>106</v>
      </c>
      <c r="N24" s="61" t="s">
        <v>105</v>
      </c>
      <c r="O24" s="66" t="s">
        <v>104</v>
      </c>
      <c r="P24" s="68"/>
      <c r="R24" s="61" t="s">
        <v>111</v>
      </c>
      <c r="S24" s="61" t="s">
        <v>112</v>
      </c>
      <c r="T24" s="66" t="s">
        <v>104</v>
      </c>
      <c r="U24" s="68"/>
      <c r="V24" s="61" t="s">
        <v>104</v>
      </c>
      <c r="W24" s="61" t="s">
        <v>121</v>
      </c>
      <c r="X24" s="61" t="s">
        <v>122</v>
      </c>
      <c r="Y24" s="61" t="s">
        <v>121</v>
      </c>
      <c r="Z24" s="61" t="s">
        <v>122</v>
      </c>
    </row>
    <row r="25" spans="2:26" ht="15" customHeight="1" x14ac:dyDescent="0.25">
      <c r="M25" s="47">
        <v>0</v>
      </c>
      <c r="N25" s="36">
        <v>18</v>
      </c>
      <c r="O25" s="141" t="s">
        <v>107</v>
      </c>
      <c r="P25" s="142"/>
      <c r="R25" s="47">
        <v>0</v>
      </c>
      <c r="S25" s="36">
        <v>1.7</v>
      </c>
      <c r="T25" s="141" t="s">
        <v>107</v>
      </c>
      <c r="U25" s="142"/>
      <c r="V25" s="65" t="s">
        <v>107</v>
      </c>
      <c r="W25" s="36">
        <v>0.88080000000000003</v>
      </c>
      <c r="X25" s="36">
        <v>8.0000000000000004E-4</v>
      </c>
      <c r="Y25" s="36">
        <v>1.9236</v>
      </c>
      <c r="Z25" s="36">
        <v>1.1000000000000001E-3</v>
      </c>
    </row>
    <row r="26" spans="2:26" ht="15" customHeight="1" x14ac:dyDescent="0.25">
      <c r="B26" s="33" t="s">
        <v>130</v>
      </c>
      <c r="M26" s="47">
        <v>18</v>
      </c>
      <c r="N26" s="36">
        <v>51</v>
      </c>
      <c r="O26" s="141" t="s">
        <v>108</v>
      </c>
      <c r="P26" s="142"/>
      <c r="R26" s="47">
        <v>1.7</v>
      </c>
      <c r="S26" s="36">
        <v>2.8</v>
      </c>
      <c r="T26" s="141" t="s">
        <v>108</v>
      </c>
      <c r="U26" s="142"/>
      <c r="V26" s="65" t="s">
        <v>108</v>
      </c>
      <c r="W26" s="36">
        <v>0.9254</v>
      </c>
      <c r="X26" s="36">
        <v>2.9999999999999997E-4</v>
      </c>
      <c r="Y26" s="36">
        <v>2.044</v>
      </c>
      <c r="Z26" s="36">
        <v>1.1000000000000001E-3</v>
      </c>
    </row>
    <row r="27" spans="2:26" ht="15" customHeight="1" x14ac:dyDescent="0.25">
      <c r="C27" s="77"/>
      <c r="D27" s="78"/>
      <c r="F27" s="34" t="s">
        <v>38</v>
      </c>
      <c r="G27" s="37" t="str">
        <f>IFERROR(INDEX(Lookup!$F$2:$F$13, MATCH('Residential-size'!$C$27, Lookup!$E$2:$E$13, 0)), "")</f>
        <v/>
      </c>
      <c r="M27" s="47">
        <v>51</v>
      </c>
      <c r="N27" s="36">
        <v>75</v>
      </c>
      <c r="O27" s="141" t="s">
        <v>109</v>
      </c>
      <c r="P27" s="142"/>
      <c r="R27" s="47">
        <v>2.8</v>
      </c>
      <c r="S27" s="36">
        <v>4</v>
      </c>
      <c r="T27" s="141" t="s">
        <v>109</v>
      </c>
      <c r="U27" s="142"/>
      <c r="V27" s="65" t="s">
        <v>109</v>
      </c>
      <c r="W27" s="36">
        <v>0.93069999999999997</v>
      </c>
      <c r="X27" s="36">
        <v>2.0000000000000001E-4</v>
      </c>
      <c r="Y27" s="36">
        <v>2.1171000000000002</v>
      </c>
      <c r="Z27" s="36">
        <v>1.1000000000000001E-3</v>
      </c>
    </row>
    <row r="28" spans="2:26" ht="15" customHeight="1" x14ac:dyDescent="0.25">
      <c r="C28" s="33"/>
      <c r="F28" s="34" t="s">
        <v>39</v>
      </c>
      <c r="G28" s="38" t="str">
        <f>IFERROR(INDEX(Lookup!$G$2:$G$13, MATCH('Residential-size'!$C$27, Lookup!$E$2:$E$13, 0)), "")</f>
        <v/>
      </c>
      <c r="H28" s="34" t="s">
        <v>43</v>
      </c>
      <c r="M28" s="47">
        <v>75</v>
      </c>
      <c r="N28" s="36"/>
      <c r="O28" s="141" t="s">
        <v>110</v>
      </c>
      <c r="P28" s="142"/>
      <c r="R28" s="47">
        <v>4</v>
      </c>
      <c r="S28" s="36"/>
      <c r="T28" s="141" t="s">
        <v>110</v>
      </c>
      <c r="U28" s="142"/>
      <c r="V28" s="65" t="s">
        <v>110</v>
      </c>
      <c r="W28" s="36">
        <v>0.93489999999999995</v>
      </c>
      <c r="X28" s="36">
        <v>1E-4</v>
      </c>
      <c r="Y28" s="36">
        <v>2.2418</v>
      </c>
      <c r="Z28" s="36">
        <v>1.1000000000000001E-3</v>
      </c>
    </row>
    <row r="29" spans="2:26" ht="15" customHeight="1" x14ac:dyDescent="0.25">
      <c r="C29" s="33"/>
      <c r="F29" s="34" t="s">
        <v>41</v>
      </c>
      <c r="G29" s="37" t="str">
        <f>IFERROR(INDEX(Lookup!$H$2:$H$13, MATCH('Residential-size'!$C$27, Lookup!$E$2:$E$13, 0)), "")</f>
        <v/>
      </c>
      <c r="H29" s="54"/>
    </row>
    <row r="31" spans="2:26" ht="15" customHeight="1" x14ac:dyDescent="0.25">
      <c r="B31" s="33" t="s">
        <v>59</v>
      </c>
      <c r="N31" s="69" t="s">
        <v>127</v>
      </c>
      <c r="O31" s="36" t="str">
        <f>IF(C21="",Volume_BaseERWH,C21)</f>
        <v/>
      </c>
    </row>
    <row r="32" spans="2:26" ht="15" customHeight="1" x14ac:dyDescent="0.25">
      <c r="C32" s="23"/>
      <c r="D32" s="33" t="s">
        <v>37</v>
      </c>
      <c r="N32" s="69" t="s">
        <v>124</v>
      </c>
      <c r="O32" s="36" t="str" cm="1">
        <f t="array" ref="O32">IF(C17="FHR",_xlfn.XLOOKUP(D17,M25:M28,O25:O28,"",-1),IF(C17="GPM",_xlfn.XLOOKUP(R25:R28,T25:T28,"",-1),""))</f>
        <v/>
      </c>
      <c r="R32" s="33" t="s">
        <v>134</v>
      </c>
    </row>
    <row r="33" spans="2:20" ht="15" customHeight="1" x14ac:dyDescent="0.25">
      <c r="C33" s="39"/>
      <c r="D33" s="39"/>
      <c r="E33" s="39"/>
      <c r="F33" s="40"/>
      <c r="N33" s="69" t="s">
        <v>125</v>
      </c>
      <c r="O33" s="36" t="e">
        <f>IF(O31&lt;=55,_xlfn.XLOOKUP(O32,V25:V28,W25:W28),IF(O31&gt;55,_xlfn.XLOOKUP(O32,V25:V28,Y25:Y28),""))</f>
        <v>#N/A</v>
      </c>
      <c r="R33" s="33" t="s">
        <v>135</v>
      </c>
    </row>
    <row r="34" spans="2:20" ht="15" customHeight="1" x14ac:dyDescent="0.25">
      <c r="B34" s="33" t="s">
        <v>42</v>
      </c>
      <c r="C34" s="39"/>
      <c r="D34" s="39"/>
      <c r="E34" s="39"/>
      <c r="F34" s="40"/>
      <c r="N34" s="69" t="s">
        <v>126</v>
      </c>
      <c r="O34" s="36" t="e">
        <f>IF(O31&lt;=55,_xlfn.XLOOKUP(O32,V25:V28,X25:X28),IF(O31&gt;55,_xlfn.XLOOKUP(O32,V25:V28,Z25:Z28),""))</f>
        <v>#N/A</v>
      </c>
    </row>
    <row r="35" spans="2:20" ht="15" customHeight="1" x14ac:dyDescent="0.25">
      <c r="B35" s="41" t="s">
        <v>51</v>
      </c>
      <c r="C35" s="39"/>
      <c r="D35" s="39"/>
      <c r="E35" s="39"/>
      <c r="F35" s="40"/>
    </row>
    <row r="36" spans="2:20" ht="15" customHeight="1" x14ac:dyDescent="0.25">
      <c r="C36" s="15"/>
      <c r="D36" s="33" t="s">
        <v>40</v>
      </c>
    </row>
    <row r="37" spans="2:20" ht="15" customHeight="1" x14ac:dyDescent="0.25">
      <c r="C37" s="39"/>
      <c r="D37" s="39"/>
      <c r="E37" s="39"/>
      <c r="F37" s="40"/>
    </row>
    <row r="38" spans="2:20" ht="15" customHeight="1" x14ac:dyDescent="0.25">
      <c r="B38" s="33" t="s">
        <v>50</v>
      </c>
      <c r="C38" s="39"/>
      <c r="D38" s="39"/>
      <c r="E38" s="39"/>
      <c r="F38" s="40"/>
    </row>
    <row r="39" spans="2:20" ht="15" customHeight="1" x14ac:dyDescent="0.25">
      <c r="B39" s="41" t="s">
        <v>53</v>
      </c>
      <c r="C39" s="39"/>
      <c r="D39" s="39"/>
      <c r="E39" s="39"/>
      <c r="F39" s="40"/>
    </row>
    <row r="40" spans="2:20" ht="15" customHeight="1" x14ac:dyDescent="0.25">
      <c r="C40" s="15"/>
      <c r="D40" s="33" t="s">
        <v>40</v>
      </c>
    </row>
    <row r="42" spans="2:20" ht="15" customHeight="1" thickBot="1" x14ac:dyDescent="0.3"/>
    <row r="43" spans="2:20" ht="15" customHeight="1" thickBot="1" x14ac:dyDescent="0.3">
      <c r="B43" s="89" t="s">
        <v>136</v>
      </c>
      <c r="C43" s="90"/>
      <c r="D43" s="90"/>
      <c r="E43" s="90"/>
      <c r="F43" s="90"/>
      <c r="G43" s="90"/>
      <c r="H43" s="90"/>
      <c r="I43" s="91" t="str">
        <f>IF(MissingValues,"Form Incomplete",IF($M$44="Custom",IFERROR(P44*Lookup!K2+R44*Lookup!L2,"Check Inputs"), Quantity * N44))</f>
        <v>Form Incomplete</v>
      </c>
      <c r="J43" s="92"/>
      <c r="M43" s="71" t="s">
        <v>146</v>
      </c>
      <c r="N43" s="71" t="s">
        <v>139</v>
      </c>
      <c r="P43" s="71" t="s">
        <v>31</v>
      </c>
      <c r="Q43" s="1"/>
      <c r="R43" s="71" t="s">
        <v>32</v>
      </c>
      <c r="S43" s="1"/>
      <c r="T43" s="71" t="s">
        <v>76</v>
      </c>
    </row>
    <row r="44" spans="2:20" ht="15" customHeight="1" x14ac:dyDescent="0.25">
      <c r="B44" s="143" t="s">
        <v>62</v>
      </c>
      <c r="C44" s="143"/>
      <c r="D44" s="143"/>
      <c r="E44" s="143"/>
      <c r="F44" s="143"/>
      <c r="G44" s="143"/>
      <c r="H44" s="143"/>
      <c r="I44" s="87" t="str">
        <f>IF(MissingValues, "Form Incomplete", IFERROR(P44, "Check Inputs"))</f>
        <v>Form Incomplete</v>
      </c>
      <c r="J44" s="87"/>
      <c r="K44" s="33" t="s">
        <v>89</v>
      </c>
      <c r="M44" s="48" t="str">
        <f>IF(OR(FacilityType=Lookup!E5, FacilityType=Lookup!E9, FacilityType=Lookup!E10), IF(C14&lt;55, "Prescriptive&lt;55", "Prescriptive&gt;=55"), "Custom")</f>
        <v>Custom</v>
      </c>
      <c r="N44" s="36">
        <f>INDEX(Lookup!$K$2:$K$4,MATCH(M44,Lookup!$J$2:$J$4,0))</f>
        <v>0.18</v>
      </c>
      <c r="P44" s="24" t="e">
        <f>ROUND((Quantity*$T$44*Lookup!$B$10*Lookup!$B$11*(WaterTemp_Outlet-$C$36)/Lookup!$B$9)*(1/UEF_BL-1/UEF_EE), 2)</f>
        <v>#VALUE!</v>
      </c>
      <c r="Q44" s="1"/>
      <c r="R44" s="26" t="e">
        <f>$P$44*CF/EFLH</f>
        <v>#VALUE!</v>
      </c>
      <c r="S44" s="1"/>
      <c r="T44" s="26" t="e">
        <f>HWPerSqFt*SqFt</f>
        <v>#VALUE!</v>
      </c>
    </row>
    <row r="45" spans="2:20" ht="15" customHeight="1" x14ac:dyDescent="0.25">
      <c r="B45" s="143" t="s">
        <v>63</v>
      </c>
      <c r="C45" s="143"/>
      <c r="D45" s="143"/>
      <c r="E45" s="143"/>
      <c r="F45" s="143"/>
      <c r="G45" s="143"/>
      <c r="H45" s="143"/>
      <c r="I45" s="88" t="str">
        <f>IF(MissingValues, "Form Incomplete", IFERROR(R44, "Check Inputs"))</f>
        <v>Form Incomplete</v>
      </c>
      <c r="J45" s="88"/>
      <c r="K45" s="33" t="s">
        <v>88</v>
      </c>
    </row>
  </sheetData>
  <sheetProtection algorithmName="SHA-512" hashValue="UgiBYI3T9AN8HmgoCSv8xGMmuI7AHJGI4HY7Z/q740Qqoa87/y5VGgGO+zH5WqFWhKmYnHoXVs3qMQGbMHkUQw==" saltValue="9pRXXmh+9NuKlb8Wph1yxg==" spinCount="100000" sheet="1" objects="1" scenarios="1" selectLockedCells="1"/>
  <mergeCells count="19">
    <mergeCell ref="M23:O23"/>
    <mergeCell ref="R23:T23"/>
    <mergeCell ref="E11:I11"/>
    <mergeCell ref="W23:X23"/>
    <mergeCell ref="Y23:Z23"/>
    <mergeCell ref="W22:Z22"/>
    <mergeCell ref="B45:H45"/>
    <mergeCell ref="I44:J44"/>
    <mergeCell ref="I45:J45"/>
    <mergeCell ref="B43:H43"/>
    <mergeCell ref="I43:J43"/>
    <mergeCell ref="C27:D27"/>
    <mergeCell ref="B1:C1"/>
    <mergeCell ref="D1:J1"/>
    <mergeCell ref="B8:J8"/>
    <mergeCell ref="B44:H44"/>
    <mergeCell ref="I3:J3"/>
    <mergeCell ref="D3:F3"/>
    <mergeCell ref="D5:F5"/>
  </mergeCells>
  <conditionalFormatting sqref="H28:H29">
    <cfRule type="expression" dxfId="7" priority="2">
      <formula>EFLH &lt;&gt; "Varies"</formula>
    </cfRule>
  </conditionalFormatting>
  <dataValidations count="3">
    <dataValidation type="decimal" operator="greaterThan" allowBlank="1" showInputMessage="1" showErrorMessage="1" errorTitle="Invalid Input" error="Allowed values: Numbers greater than 0" sqref="C14 C36 C40 C32" xr:uid="{5D854392-BD2B-4154-9604-C4005BDE3414}">
      <formula1>0</formula1>
    </dataValidation>
    <dataValidation type="whole" operator="greaterThan" allowBlank="1" showInputMessage="1" showErrorMessage="1" errorTitle="Invalid Input" error="Allowed values: Whole numbers greater than 0" sqref="C11" xr:uid="{76A62578-8E29-4CBE-A63F-E5C32DD5335C}">
      <formula1>0</formula1>
    </dataValidation>
    <dataValidation type="decimal" allowBlank="1" showInputMessage="1" showErrorMessage="1" errorTitle="Invalid Input" error="Allowed values: 0.00 to 1.00" sqref="C24" xr:uid="{589D0E25-0838-4BD7-9755-921885926F3F}">
      <formula1>0</formula1>
      <formula2>8</formula2>
    </dataValidation>
  </dataValidations>
  <pageMargins left="0.7" right="0.7" top="0.75" bottom="0.75" header="0.3" footer="0.3"/>
  <pageSetup orientation="portrait" r:id="rId1"/>
  <headerFooter differentFirst="1" scaleWithDoc="0">
    <oddHeader>&amp;C&amp;"Arial,Regular"&amp;09&amp;I&amp;K000000Leidos Proprietary</oddHeader>
    <oddFooter>&amp;LPY21 TRM V1.0&amp;RPage &amp;P-1  &amp;C&amp;"Calibri,Regular"&amp;10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6D54C8F-9F18-4B12-88E0-C874BFEDFDE5}">
          <x14:formula1>
            <xm:f>Lookup!$E$2:$E$13</xm:f>
          </x14:formula1>
          <xm:sqref>C27:D27</xm:sqref>
        </x14:dataValidation>
        <x14:dataValidation type="list" allowBlank="1" showInputMessage="1" showErrorMessage="1" xr:uid="{DAA7E3A6-3769-4F04-A074-FE68CB7C4C6F}">
          <x14:formula1>
            <xm:f>Lookup!$A$15:$A$16</xm:f>
          </x14:formula1>
          <xm:sqref>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P32"/>
  <sheetViews>
    <sheetView showGridLines="0" showRuler="0" showWhiteSpace="0" zoomScaleNormal="100" zoomScaleSheetLayoutView="80" zoomScalePageLayoutView="90" workbookViewId="0">
      <selection activeCell="C3" sqref="C3:E3"/>
    </sheetView>
  </sheetViews>
  <sheetFormatPr defaultColWidth="8.85546875" defaultRowHeight="15" x14ac:dyDescent="0.25"/>
  <cols>
    <col min="1" max="1" width="2.7109375" style="1" customWidth="1"/>
    <col min="2" max="2" width="33" style="1" bestFit="1" customWidth="1"/>
    <col min="3" max="3" width="16.7109375" style="1" bestFit="1" customWidth="1"/>
    <col min="4" max="4" width="18.28515625" style="1" customWidth="1"/>
    <col min="5" max="7" width="12.85546875" style="1" customWidth="1"/>
    <col min="8" max="8" width="27" style="1" bestFit="1" customWidth="1"/>
    <col min="9" max="9" width="23" style="1" customWidth="1"/>
    <col min="10" max="10" width="2.7109375" style="5" customWidth="1"/>
    <col min="11" max="11" width="4.7109375" style="29" customWidth="1"/>
    <col min="12" max="12" width="15.28515625" style="1" hidden="1" customWidth="1"/>
    <col min="13" max="13" width="2.7109375" style="1" hidden="1" customWidth="1"/>
    <col min="14" max="14" width="20.5703125" style="1" hidden="1" customWidth="1"/>
    <col min="15" max="15" width="3.140625" style="1" hidden="1" customWidth="1"/>
    <col min="16" max="16" width="15.7109375" style="1" hidden="1" customWidth="1"/>
    <col min="17" max="17" width="8.85546875" style="1" customWidth="1"/>
    <col min="18" max="16384" width="8.85546875" style="1"/>
  </cols>
  <sheetData>
    <row r="1" spans="2:16" ht="75" customHeight="1" thickBot="1" x14ac:dyDescent="0.3">
      <c r="B1" s="79"/>
      <c r="C1" s="80"/>
      <c r="D1" s="81" t="s">
        <v>138</v>
      </c>
      <c r="E1" s="82"/>
      <c r="F1" s="82"/>
      <c r="G1" s="82"/>
      <c r="H1" s="82"/>
      <c r="I1" s="83"/>
      <c r="J1" s="28"/>
      <c r="K1" s="28"/>
      <c r="L1" s="6"/>
      <c r="M1" s="6"/>
    </row>
    <row r="3" spans="2:16" x14ac:dyDescent="0.25">
      <c r="B3" s="2" t="s">
        <v>47</v>
      </c>
      <c r="C3" s="86"/>
      <c r="D3" s="86"/>
      <c r="E3" s="86"/>
      <c r="F3" s="5"/>
      <c r="G3" s="2" t="s">
        <v>49</v>
      </c>
      <c r="H3" s="86"/>
      <c r="I3" s="86"/>
      <c r="N3" s="11"/>
      <c r="O3" s="5"/>
      <c r="P3" s="5"/>
    </row>
    <row r="4" spans="2:16" x14ac:dyDescent="0.25">
      <c r="N4" s="5"/>
      <c r="O4" s="5"/>
      <c r="P4" s="5"/>
    </row>
    <row r="5" spans="2:16" x14ac:dyDescent="0.25">
      <c r="B5" s="2" t="s">
        <v>48</v>
      </c>
      <c r="C5" s="86"/>
      <c r="D5" s="86"/>
      <c r="E5" s="86"/>
      <c r="N5" s="11"/>
      <c r="O5" s="5"/>
      <c r="P5" s="5"/>
    </row>
    <row r="6" spans="2:16" x14ac:dyDescent="0.25">
      <c r="G6" s="53"/>
      <c r="H6" s="53"/>
    </row>
    <row r="7" spans="2:16" x14ac:dyDescent="0.25">
      <c r="B7" s="12"/>
      <c r="C7" s="12"/>
      <c r="D7" s="12"/>
      <c r="E7" s="12"/>
      <c r="F7" s="12"/>
      <c r="G7" s="13"/>
      <c r="H7" s="13"/>
      <c r="I7" s="12"/>
    </row>
    <row r="8" spans="2:16" x14ac:dyDescent="0.25">
      <c r="B8" s="101" t="s">
        <v>94</v>
      </c>
      <c r="C8" s="101"/>
      <c r="D8" s="101"/>
      <c r="E8" s="101"/>
      <c r="F8" s="101"/>
      <c r="G8" s="101"/>
      <c r="H8" s="101"/>
      <c r="I8" s="101"/>
      <c r="J8" s="101"/>
      <c r="K8" s="52"/>
    </row>
    <row r="9" spans="2:16" x14ac:dyDescent="0.25">
      <c r="B9" s="52"/>
      <c r="C9" s="52"/>
      <c r="D9" s="52"/>
      <c r="E9" s="52"/>
      <c r="F9" s="52"/>
      <c r="G9" s="52"/>
      <c r="H9" s="52"/>
      <c r="I9" s="52"/>
      <c r="J9" s="43"/>
      <c r="K9" s="52"/>
    </row>
    <row r="10" spans="2:16" x14ac:dyDescent="0.25">
      <c r="B10" s="3" t="s">
        <v>58</v>
      </c>
      <c r="C10" s="15"/>
      <c r="D10" s="14"/>
      <c r="E10" s="14"/>
      <c r="F10" s="14"/>
      <c r="G10" s="14"/>
      <c r="H10" s="21" t="s">
        <v>28</v>
      </c>
      <c r="I10" s="44"/>
      <c r="L10" s="71" t="s">
        <v>31</v>
      </c>
      <c r="N10" s="71" t="s">
        <v>32</v>
      </c>
      <c r="P10" s="71" t="s">
        <v>76</v>
      </c>
    </row>
    <row r="11" spans="2:16" x14ac:dyDescent="0.25">
      <c r="B11" s="3" t="s">
        <v>4</v>
      </c>
      <c r="C11" s="15"/>
      <c r="H11" s="21" t="s">
        <v>29</v>
      </c>
      <c r="I11" s="44"/>
      <c r="L11" s="24" t="e">
        <f>ROUND(($P$11*Lookup!$B$10*Lookup!$B$11*(Lookup!$B$12-_xlfn.XLOOKUP('Commercial-size'!$C$10,Lookup!$N$2:$N$6,Lookup!$O$2:$O$6))/Lookup!$B$9)*(1/IF(ISBLANK($C$17),$C$16,$C$17)-1/$E$20), 2)</f>
        <v>#N/A</v>
      </c>
      <c r="N11" s="26" t="e">
        <f>$L$11*_xlfn.XLOOKUP($C$11,Lookup!$E$2:$E$13,Lookup!$H$2:$H$13)/_xlfn.XLOOKUP($C$11,Lookup!$E$2:$E$13,Lookup!$G$2:$G$13)</f>
        <v>#N/A</v>
      </c>
      <c r="P11" s="26" t="e">
        <f>_xlfn.XLOOKUP($C$11,Lookup!$E$2:$E$13,Lookup!$F$2:$F$13)*'Commercial-size'!$C$12</f>
        <v>#N/A</v>
      </c>
    </row>
    <row r="12" spans="2:16" x14ac:dyDescent="0.25">
      <c r="B12" s="3" t="s">
        <v>75</v>
      </c>
      <c r="C12" s="16"/>
      <c r="D12" s="1" t="s">
        <v>74</v>
      </c>
    </row>
    <row r="13" spans="2:16" x14ac:dyDescent="0.25">
      <c r="B13" s="32"/>
      <c r="C13" s="53"/>
      <c r="H13" s="20" t="s">
        <v>26</v>
      </c>
      <c r="I13" s="45" t="str">
        <f>IF(OR($L$17, $N$17), "Form Incomplete", IF(ISERROR($L$11), "Check Inputs", L11))</f>
        <v>Form Incomplete</v>
      </c>
      <c r="L13" s="30" t="s">
        <v>33</v>
      </c>
      <c r="N13" s="71" t="s">
        <v>34</v>
      </c>
    </row>
    <row r="14" spans="2:16" x14ac:dyDescent="0.25">
      <c r="H14" s="21" t="s">
        <v>27</v>
      </c>
      <c r="I14" s="46" t="str">
        <f>IF(OR($L$17, $N$17), "Form Incomplete", IF(ISERROR($N$11), "Check Inputs", $N$11))</f>
        <v>Form Incomplete</v>
      </c>
      <c r="L14" s="24" t="e">
        <f>L11 * (1 + VLOOKUP($C$10, Lookup!$N$2:$P$6, 3, FALSE))</f>
        <v>#N/A</v>
      </c>
      <c r="N14" s="25" t="e">
        <f>N11 * (1 + VLOOKUP($C$10, Lookup!$N$2:$P$6, 3, FALSE))</f>
        <v>#N/A</v>
      </c>
    </row>
    <row r="15" spans="2:16" ht="15" customHeight="1" thickBot="1" x14ac:dyDescent="0.3">
      <c r="B15" s="10" t="s">
        <v>45</v>
      </c>
      <c r="C15" s="15"/>
      <c r="D15" s="1" t="s">
        <v>95</v>
      </c>
      <c r="G15" s="8"/>
    </row>
    <row r="16" spans="2:16" ht="15.75" thickBot="1" x14ac:dyDescent="0.3">
      <c r="B16" s="10" t="s">
        <v>61</v>
      </c>
      <c r="C16" s="56" t="str">
        <f>_xlfn.IFNA(_xlfn.XLOOKUP(C15,Lookup!A2:A6,Lookup!B2:B6), "Form Incomplete")</f>
        <v>Form Incomplete</v>
      </c>
      <c r="D16" s="1" t="s">
        <v>129</v>
      </c>
      <c r="E16" s="53"/>
      <c r="F16" s="53"/>
      <c r="G16" s="8"/>
      <c r="H16" s="76" t="s">
        <v>136</v>
      </c>
      <c r="I16" s="75" t="str">
        <f>IF(OR($L$17, $N$17), "Form Incomplete", IFERROR(L11 * Lookup!K2 + N11 * Lookup!L2, "Check Inputs"))</f>
        <v>Form Incomplete</v>
      </c>
      <c r="L16" s="31" t="s">
        <v>44</v>
      </c>
      <c r="N16" s="31" t="s">
        <v>46</v>
      </c>
    </row>
    <row r="17" spans="2:14" x14ac:dyDescent="0.25">
      <c r="B17" s="10" t="s">
        <v>66</v>
      </c>
      <c r="C17" s="57"/>
      <c r="D17" s="1" t="s">
        <v>67</v>
      </c>
      <c r="E17" s="53"/>
      <c r="F17" s="53"/>
      <c r="G17" s="8"/>
      <c r="H17" s="73"/>
      <c r="I17" s="74"/>
      <c r="L17" s="27" t="b">
        <f>OR(ISBLANK(C10),  ISBLANK(C11), ISBLANK(C15), ISBLANK(C16),ISBLANK(I10), ISBLANK(I11))</f>
        <v>1</v>
      </c>
      <c r="N17" s="27" t="b">
        <f>NOT(OR(ISNUMBER(F20)))</f>
        <v>0</v>
      </c>
    </row>
    <row r="18" spans="2:14" x14ac:dyDescent="0.25">
      <c r="E18" s="53"/>
      <c r="F18" s="53"/>
      <c r="G18" s="8"/>
    </row>
    <row r="19" spans="2:14" ht="30" x14ac:dyDescent="0.25">
      <c r="B19" s="4" t="s">
        <v>56</v>
      </c>
      <c r="C19" s="4" t="s">
        <v>57</v>
      </c>
      <c r="D19" s="9" t="s">
        <v>68</v>
      </c>
      <c r="E19" s="4" t="s">
        <v>86</v>
      </c>
      <c r="F19" s="4" t="s">
        <v>69</v>
      </c>
      <c r="G19" s="8"/>
      <c r="J19" s="1"/>
      <c r="K19" s="1"/>
    </row>
    <row r="20" spans="2:14" x14ac:dyDescent="0.25">
      <c r="B20" s="15"/>
      <c r="C20" s="17"/>
      <c r="D20" s="139"/>
      <c r="E20" s="140"/>
      <c r="F20" s="7">
        <f>IFERROR(D20*C20, "Check Inputs")</f>
        <v>0</v>
      </c>
      <c r="G20" s="8"/>
      <c r="L20" s="42"/>
    </row>
    <row r="21" spans="2:14" x14ac:dyDescent="0.25">
      <c r="H21" s="5"/>
      <c r="I21" s="29"/>
      <c r="J21" s="1"/>
      <c r="K21" s="1"/>
    </row>
    <row r="22" spans="2:14" x14ac:dyDescent="0.25">
      <c r="B22" s="19" t="s">
        <v>35</v>
      </c>
    </row>
    <row r="23" spans="2:14" ht="72.75" customHeight="1" x14ac:dyDescent="0.25">
      <c r="B23" s="98"/>
      <c r="C23" s="99"/>
      <c r="D23" s="99"/>
      <c r="E23" s="99"/>
      <c r="F23" s="99"/>
      <c r="G23" s="99"/>
      <c r="H23" s="99"/>
      <c r="I23" s="100"/>
    </row>
    <row r="24" spans="2:14" x14ac:dyDescent="0.25">
      <c r="B24" s="50"/>
      <c r="C24" s="50"/>
      <c r="D24" s="50"/>
    </row>
    <row r="25" spans="2:14" x14ac:dyDescent="0.25">
      <c r="B25" s="50"/>
      <c r="C25" s="50"/>
      <c r="D25" s="50"/>
      <c r="E25" s="50"/>
      <c r="F25" s="50"/>
      <c r="G25" s="50"/>
      <c r="H25" s="50"/>
      <c r="I25" s="50"/>
      <c r="J25" s="49"/>
      <c r="K25" s="51"/>
    </row>
    <row r="26" spans="2:14" x14ac:dyDescent="0.25">
      <c r="B26" s="50"/>
      <c r="C26" s="50"/>
      <c r="D26" s="50"/>
      <c r="E26" s="50"/>
      <c r="F26" s="50"/>
      <c r="G26" s="50"/>
      <c r="H26" s="50"/>
      <c r="I26" s="50"/>
      <c r="J26" s="49"/>
      <c r="K26" s="51"/>
    </row>
    <row r="27" spans="2:14" x14ac:dyDescent="0.25">
      <c r="B27" s="50"/>
      <c r="C27" s="50"/>
      <c r="D27" s="50"/>
      <c r="E27" s="50"/>
      <c r="F27" s="50"/>
      <c r="G27" s="50"/>
      <c r="H27" s="50"/>
      <c r="I27" s="50"/>
      <c r="J27" s="49"/>
      <c r="K27" s="51"/>
    </row>
    <row r="28" spans="2:14" x14ac:dyDescent="0.25">
      <c r="B28" s="50"/>
      <c r="C28" s="50"/>
      <c r="D28" s="50"/>
      <c r="E28" s="50"/>
      <c r="F28" s="50"/>
      <c r="G28" s="50"/>
      <c r="H28" s="50"/>
      <c r="I28" s="50"/>
      <c r="J28" s="49"/>
      <c r="K28" s="51"/>
    </row>
    <row r="29" spans="2:14" x14ac:dyDescent="0.25">
      <c r="B29" s="50"/>
      <c r="C29" s="50"/>
      <c r="D29" s="50"/>
      <c r="E29" s="50"/>
      <c r="F29" s="50"/>
      <c r="G29" s="50"/>
      <c r="H29" s="50"/>
      <c r="I29" s="50"/>
      <c r="J29" s="49"/>
      <c r="K29" s="51"/>
    </row>
    <row r="30" spans="2:14" x14ac:dyDescent="0.25">
      <c r="B30" s="50"/>
      <c r="C30" s="50"/>
      <c r="D30" s="50"/>
      <c r="E30" s="50"/>
      <c r="F30" s="50"/>
      <c r="G30" s="50"/>
      <c r="H30" s="50"/>
      <c r="I30" s="50"/>
      <c r="J30" s="49"/>
      <c r="K30" s="51"/>
    </row>
    <row r="31" spans="2:14" x14ac:dyDescent="0.25">
      <c r="E31" s="50"/>
      <c r="F31" s="50"/>
      <c r="G31" s="50"/>
      <c r="H31" s="50"/>
      <c r="I31" s="50"/>
      <c r="J31" s="49"/>
      <c r="K31" s="51"/>
    </row>
    <row r="32" spans="2:14" x14ac:dyDescent="0.25">
      <c r="E32" s="50"/>
      <c r="F32" s="50"/>
      <c r="G32" s="50"/>
      <c r="H32" s="50"/>
      <c r="I32" s="50"/>
      <c r="J32" s="49"/>
      <c r="K32" s="51"/>
    </row>
  </sheetData>
  <sheetProtection algorithmName="SHA-512" hashValue="oibx0dPGAtMPjw09lfE01omRhswxH+WNqbVT18f+HjLz873QY3s48+dAhLmII4ELK0Ec43kL4gDljbTYiJ60kQ==" saltValue="y//iw+2Cn/ln9uQv9gTuZw==" spinCount="100000" sheet="1" objects="1" scenarios="1" selectLockedCells="1"/>
  <customSheetViews>
    <customSheetView guid="{15EC6CF7-CE45-48CB-B686-A1BB5EA0E178}" scale="90" showPageBreaks="1" fitToPage="1" printArea="1" showRuler="0" topLeftCell="A18">
      <selection activeCell="O1" sqref="A1:O45"/>
      <pageMargins left="0.25" right="0.17" top="0.25" bottom="0.25" header="0.3" footer="0.3"/>
      <printOptions horizontalCentered="1" verticalCentered="1"/>
      <pageSetup scale="41" orientation="landscape" r:id="rId1"/>
    </customSheetView>
  </customSheetViews>
  <mergeCells count="7">
    <mergeCell ref="B23:I23"/>
    <mergeCell ref="D1:I1"/>
    <mergeCell ref="B8:J8"/>
    <mergeCell ref="B1:C1"/>
    <mergeCell ref="C3:E3"/>
    <mergeCell ref="C5:E5"/>
    <mergeCell ref="H3:I3"/>
  </mergeCells>
  <conditionalFormatting sqref="H13">
    <cfRule type="expression" dxfId="6" priority="20">
      <formula>#REF!=#REF!</formula>
    </cfRule>
  </conditionalFormatting>
  <dataValidations xWindow="153" yWindow="518" count="3">
    <dataValidation allowBlank="1" showInputMessage="1" showErrorMessage="1" prompt="Cost of alternate water heating system (i.e. electric resistance)." sqref="I11" xr:uid="{00000000-0002-0000-0000-000003000000}"/>
    <dataValidation operator="greaterThan" allowBlank="1" showInputMessage="1" showErrorMessage="1" errorTitle="Invalid Input" error="Allowed values: Numbers greater than 12" sqref="C16" xr:uid="{1B07AB14-DAA9-4718-9C85-9A22879DEDA9}"/>
    <dataValidation errorStyle="warning" allowBlank="1" showInputMessage="1" showErrorMessage="1" sqref="B20" xr:uid="{00000000-0002-0000-0000-00000B000000}"/>
  </dataValidations>
  <printOptions horizontalCentered="1" verticalCentered="1"/>
  <pageMargins left="0.25" right="0.17" top="0.25" bottom="0.25" header="0.3" footer="0.3"/>
  <pageSetup scale="57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xWindow="153" yWindow="518" count="3">
        <x14:dataValidation type="list" allowBlank="1" showInputMessage="1" showErrorMessage="1" xr:uid="{00000000-0002-0000-0000-000007000000}">
          <x14:formula1>
            <xm:f>Lookup!$E$2:$E$13</xm:f>
          </x14:formula1>
          <xm:sqref>C11</xm:sqref>
        </x14:dataValidation>
        <x14:dataValidation type="list" allowBlank="1" showInputMessage="1" showErrorMessage="1" xr:uid="{00000000-0002-0000-0000-000006000000}">
          <x14:formula1>
            <xm:f>Lookup!$N$2:$N$6</xm:f>
          </x14:formula1>
          <xm:sqref>C10</xm:sqref>
        </x14:dataValidation>
        <x14:dataValidation type="list" allowBlank="1" showInputMessage="1" showErrorMessage="1" xr:uid="{00000000-0002-0000-0000-000005000000}">
          <x14:formula1>
            <xm:f>Lookup!$A$2:$A$5</xm:f>
          </x14:formula1>
          <xm:sqref>C15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24"/>
  <sheetViews>
    <sheetView workbookViewId="0">
      <selection activeCell="K3" sqref="K3"/>
    </sheetView>
  </sheetViews>
  <sheetFormatPr defaultColWidth="9.140625" defaultRowHeight="15" x14ac:dyDescent="0.25"/>
  <cols>
    <col min="1" max="1" width="26.7109375" style="110" bestFit="1" customWidth="1"/>
    <col min="2" max="2" width="17.28515625" style="110" bestFit="1" customWidth="1"/>
    <col min="3" max="3" width="17.28515625" style="110" customWidth="1"/>
    <col min="4" max="4" width="9.140625" style="110" customWidth="1"/>
    <col min="5" max="5" width="16.7109375" style="110" bestFit="1" customWidth="1"/>
    <col min="6" max="6" width="14" style="110" customWidth="1"/>
    <col min="7" max="7" width="14.7109375" style="110" bestFit="1" customWidth="1"/>
    <col min="8" max="8" width="6.5703125" style="110" bestFit="1" customWidth="1"/>
    <col min="9" max="9" width="9.140625" style="110"/>
    <col min="10" max="10" width="18.5703125" style="110" bestFit="1" customWidth="1"/>
    <col min="11" max="12" width="18.85546875" style="110" customWidth="1"/>
    <col min="13" max="14" width="9.140625" style="110"/>
    <col min="15" max="15" width="16" style="110" bestFit="1" customWidth="1"/>
    <col min="16" max="16" width="18.5703125" style="110" bestFit="1" customWidth="1"/>
    <col min="17" max="16384" width="9.140625" style="110"/>
  </cols>
  <sheetData>
    <row r="1" spans="1:16" x14ac:dyDescent="0.25">
      <c r="A1" s="102" t="s">
        <v>25</v>
      </c>
      <c r="B1" s="103" t="s">
        <v>23</v>
      </c>
      <c r="C1" s="104"/>
      <c r="D1" s="105"/>
      <c r="E1" s="106" t="s">
        <v>4</v>
      </c>
      <c r="F1" s="107" t="s">
        <v>21</v>
      </c>
      <c r="G1" s="107" t="s">
        <v>18</v>
      </c>
      <c r="H1" s="108" t="s">
        <v>19</v>
      </c>
      <c r="I1" s="105"/>
      <c r="J1" s="102" t="s">
        <v>146</v>
      </c>
      <c r="K1" s="103" t="s">
        <v>143</v>
      </c>
      <c r="L1" s="109" t="s">
        <v>144</v>
      </c>
      <c r="N1" s="111" t="s">
        <v>5</v>
      </c>
      <c r="O1" s="111" t="s">
        <v>70</v>
      </c>
      <c r="P1" s="111" t="s">
        <v>30</v>
      </c>
    </row>
    <row r="2" spans="1:16" x14ac:dyDescent="0.25">
      <c r="A2" s="112" t="s">
        <v>103</v>
      </c>
      <c r="B2" s="113">
        <v>1</v>
      </c>
      <c r="C2" s="114"/>
      <c r="D2" s="105"/>
      <c r="E2" s="115" t="s">
        <v>17</v>
      </c>
      <c r="F2" s="116">
        <v>9.7799999999999994</v>
      </c>
      <c r="G2" s="117">
        <v>2322</v>
      </c>
      <c r="H2" s="118">
        <v>0.28999999999999998</v>
      </c>
      <c r="I2" s="105"/>
      <c r="J2" s="112" t="s">
        <v>145</v>
      </c>
      <c r="K2" s="119">
        <v>0.18</v>
      </c>
      <c r="L2" s="119">
        <v>100</v>
      </c>
      <c r="N2" s="112" t="s">
        <v>6</v>
      </c>
      <c r="O2" s="120">
        <v>75</v>
      </c>
      <c r="P2" s="121">
        <v>5.9799999999999999E-2</v>
      </c>
    </row>
    <row r="3" spans="1:16" x14ac:dyDescent="0.25">
      <c r="A3" s="110" t="s">
        <v>65</v>
      </c>
      <c r="B3" s="113">
        <v>1.5</v>
      </c>
      <c r="C3" s="114"/>
      <c r="D3" s="105"/>
      <c r="E3" s="115" t="s">
        <v>10</v>
      </c>
      <c r="F3" s="116">
        <v>0.23</v>
      </c>
      <c r="G3" s="117" t="s">
        <v>20</v>
      </c>
      <c r="H3" s="118" t="s">
        <v>20</v>
      </c>
      <c r="I3" s="105"/>
      <c r="J3" s="112" t="s">
        <v>140</v>
      </c>
      <c r="K3" s="122">
        <v>500</v>
      </c>
      <c r="L3" s="122" t="s">
        <v>142</v>
      </c>
      <c r="N3" s="112" t="s">
        <v>8</v>
      </c>
      <c r="O3" s="120">
        <v>71</v>
      </c>
      <c r="P3" s="121">
        <v>4.514E-2</v>
      </c>
    </row>
    <row r="4" spans="1:16" x14ac:dyDescent="0.25">
      <c r="A4" s="112" t="s">
        <v>64</v>
      </c>
      <c r="B4" s="113">
        <v>2.5</v>
      </c>
      <c r="C4" s="114"/>
      <c r="D4" s="105"/>
      <c r="E4" s="115" t="s">
        <v>11</v>
      </c>
      <c r="F4" s="116">
        <v>7.58</v>
      </c>
      <c r="G4" s="117">
        <v>1916</v>
      </c>
      <c r="H4" s="118">
        <v>0.25</v>
      </c>
      <c r="I4" s="105"/>
      <c r="J4" s="112" t="s">
        <v>141</v>
      </c>
      <c r="K4" s="122">
        <v>700</v>
      </c>
      <c r="L4" s="122" t="s">
        <v>142</v>
      </c>
      <c r="N4" s="112" t="s">
        <v>0</v>
      </c>
      <c r="O4" s="120">
        <v>71</v>
      </c>
      <c r="P4" s="121">
        <v>4.8559999999999992E-2</v>
      </c>
    </row>
    <row r="5" spans="1:16" x14ac:dyDescent="0.25">
      <c r="A5" s="112" t="s">
        <v>24</v>
      </c>
      <c r="B5" s="113">
        <v>1</v>
      </c>
      <c r="C5" s="114"/>
      <c r="D5" s="105"/>
      <c r="E5" s="115" t="s">
        <v>12</v>
      </c>
      <c r="F5" s="116">
        <v>10.6</v>
      </c>
      <c r="G5" s="117">
        <v>4406</v>
      </c>
      <c r="H5" s="118">
        <v>0.6</v>
      </c>
      <c r="I5" s="105"/>
      <c r="J5" s="105"/>
      <c r="K5" s="105"/>
      <c r="L5" s="105"/>
      <c r="N5" s="112" t="s">
        <v>9</v>
      </c>
      <c r="O5" s="120">
        <v>71</v>
      </c>
      <c r="P5" s="121">
        <v>8.5100000000000009E-2</v>
      </c>
    </row>
    <row r="6" spans="1:16" x14ac:dyDescent="0.25">
      <c r="A6" s="112" t="s">
        <v>55</v>
      </c>
      <c r="B6" s="113">
        <v>1</v>
      </c>
      <c r="C6" s="114"/>
      <c r="D6" s="105"/>
      <c r="E6" s="115" t="s">
        <v>13</v>
      </c>
      <c r="F6" s="116">
        <v>22.7</v>
      </c>
      <c r="G6" s="117">
        <v>2247</v>
      </c>
      <c r="H6" s="118">
        <v>0.2</v>
      </c>
      <c r="I6" s="105"/>
      <c r="J6" s="105"/>
      <c r="K6" s="105"/>
      <c r="L6" s="105"/>
      <c r="N6" s="112" t="s">
        <v>7</v>
      </c>
      <c r="O6" s="120">
        <v>75</v>
      </c>
      <c r="P6" s="121">
        <v>3.952E-2</v>
      </c>
    </row>
    <row r="7" spans="1:16" x14ac:dyDescent="0.25">
      <c r="B7" s="105"/>
      <c r="C7" s="105"/>
      <c r="D7" s="105"/>
      <c r="E7" s="115" t="s">
        <v>14</v>
      </c>
      <c r="F7" s="116">
        <v>12.61</v>
      </c>
      <c r="G7" s="117">
        <v>3008</v>
      </c>
      <c r="H7" s="118">
        <v>0.35</v>
      </c>
      <c r="I7" s="105"/>
      <c r="J7" s="105"/>
      <c r="K7" s="105"/>
      <c r="L7" s="105"/>
    </row>
    <row r="8" spans="1:16" x14ac:dyDescent="0.25">
      <c r="A8" s="123" t="s">
        <v>77</v>
      </c>
      <c r="B8" s="124"/>
      <c r="C8" s="124"/>
      <c r="D8" s="105"/>
      <c r="E8" s="115" t="s">
        <v>15</v>
      </c>
      <c r="F8" s="116">
        <v>2.83</v>
      </c>
      <c r="G8" s="117" t="s">
        <v>20</v>
      </c>
      <c r="H8" s="118" t="s">
        <v>20</v>
      </c>
      <c r="I8" s="105"/>
      <c r="J8" s="105"/>
      <c r="K8" s="105"/>
      <c r="L8" s="105"/>
    </row>
    <row r="9" spans="1:16" x14ac:dyDescent="0.25">
      <c r="A9" s="125" t="s">
        <v>81</v>
      </c>
      <c r="B9" s="113">
        <v>3412</v>
      </c>
      <c r="C9" s="120" t="s">
        <v>22</v>
      </c>
      <c r="D9" s="105"/>
      <c r="E9" s="115" t="s">
        <v>16</v>
      </c>
      <c r="F9" s="116">
        <v>2.0699999999999998</v>
      </c>
      <c r="G9" s="117">
        <v>2632</v>
      </c>
      <c r="H9" s="118">
        <v>0.3</v>
      </c>
      <c r="I9" s="105"/>
    </row>
    <row r="10" spans="1:16" x14ac:dyDescent="0.25">
      <c r="A10" s="120" t="s">
        <v>78</v>
      </c>
      <c r="B10" s="126">
        <v>8.3000000000000007</v>
      </c>
      <c r="C10" s="120" t="s">
        <v>79</v>
      </c>
      <c r="D10" s="105"/>
      <c r="E10" s="115" t="s">
        <v>3</v>
      </c>
      <c r="F10" s="116">
        <v>74.91</v>
      </c>
      <c r="G10" s="117">
        <v>3947</v>
      </c>
      <c r="H10" s="118">
        <v>0.74</v>
      </c>
      <c r="I10" s="105"/>
    </row>
    <row r="11" spans="1:16" x14ac:dyDescent="0.25">
      <c r="A11" s="120" t="s">
        <v>82</v>
      </c>
      <c r="B11" s="126">
        <v>1</v>
      </c>
      <c r="C11" s="120" t="s">
        <v>80</v>
      </c>
      <c r="D11" s="105"/>
      <c r="E11" s="115" t="s">
        <v>2</v>
      </c>
      <c r="F11" s="116">
        <v>1.49</v>
      </c>
      <c r="G11" s="117" t="s">
        <v>20</v>
      </c>
      <c r="H11" s="118" t="s">
        <v>20</v>
      </c>
      <c r="I11" s="105"/>
    </row>
    <row r="12" spans="1:16" x14ac:dyDescent="0.25">
      <c r="A12" s="127" t="s">
        <v>83</v>
      </c>
      <c r="B12" s="126">
        <v>125</v>
      </c>
      <c r="C12" s="127" t="s">
        <v>84</v>
      </c>
      <c r="D12" s="105"/>
      <c r="E12" s="115" t="s">
        <v>1</v>
      </c>
      <c r="F12" s="116">
        <v>0.23</v>
      </c>
      <c r="G12" s="117" t="s">
        <v>20</v>
      </c>
      <c r="H12" s="118" t="s">
        <v>20</v>
      </c>
      <c r="I12" s="105"/>
    </row>
    <row r="13" spans="1:16" x14ac:dyDescent="0.25">
      <c r="D13" s="105"/>
      <c r="E13" s="128" t="s">
        <v>54</v>
      </c>
      <c r="F13" s="129">
        <f>F19</f>
        <v>11.01609657947686</v>
      </c>
      <c r="G13" s="130">
        <v>3564</v>
      </c>
      <c r="H13" s="131">
        <v>0.53</v>
      </c>
      <c r="I13" s="105"/>
    </row>
    <row r="14" spans="1:16" x14ac:dyDescent="0.25">
      <c r="A14" s="102" t="s">
        <v>115</v>
      </c>
      <c r="B14" s="105"/>
      <c r="C14" s="105"/>
      <c r="D14" s="105"/>
      <c r="E14" s="132"/>
      <c r="F14" s="29"/>
      <c r="G14" s="29"/>
      <c r="H14" s="29"/>
      <c r="I14" s="105"/>
    </row>
    <row r="15" spans="1:16" x14ac:dyDescent="0.25">
      <c r="A15" s="112" t="s">
        <v>116</v>
      </c>
      <c r="B15" s="105"/>
      <c r="C15" s="105"/>
      <c r="D15" s="105"/>
      <c r="E15" s="133" t="s">
        <v>96</v>
      </c>
      <c r="F15" s="104"/>
      <c r="G15" s="29"/>
      <c r="H15" s="29"/>
      <c r="I15" s="105"/>
    </row>
    <row r="16" spans="1:16" x14ac:dyDescent="0.25">
      <c r="A16" s="120" t="s">
        <v>117</v>
      </c>
      <c r="D16" s="105"/>
      <c r="F16" s="134" t="s">
        <v>97</v>
      </c>
      <c r="G16" s="135" t="s">
        <v>98</v>
      </c>
      <c r="I16" s="110" t="s">
        <v>99</v>
      </c>
    </row>
    <row r="17" spans="1:9" x14ac:dyDescent="0.25">
      <c r="D17" s="105"/>
      <c r="E17" s="29"/>
      <c r="F17" s="136">
        <v>15</v>
      </c>
      <c r="G17" s="125" t="s">
        <v>72</v>
      </c>
      <c r="H17" s="29"/>
      <c r="I17" s="105" t="s">
        <v>100</v>
      </c>
    </row>
    <row r="18" spans="1:9" x14ac:dyDescent="0.25">
      <c r="F18" s="136">
        <v>497</v>
      </c>
      <c r="G18" s="125" t="s">
        <v>73</v>
      </c>
      <c r="H18" s="29"/>
      <c r="I18" s="29" t="s">
        <v>71</v>
      </c>
    </row>
    <row r="19" spans="1:9" x14ac:dyDescent="0.25">
      <c r="F19" s="137">
        <f>F17/F18*365</f>
        <v>11.01609657947686</v>
      </c>
      <c r="G19" s="120" t="s">
        <v>85</v>
      </c>
      <c r="I19" s="105"/>
    </row>
    <row r="20" spans="1:9" x14ac:dyDescent="0.25">
      <c r="I20" s="105"/>
    </row>
    <row r="21" spans="1:9" x14ac:dyDescent="0.25">
      <c r="I21" s="29" t="s">
        <v>101</v>
      </c>
    </row>
    <row r="22" spans="1:9" x14ac:dyDescent="0.25">
      <c r="A22" s="138"/>
      <c r="I22" s="105"/>
    </row>
    <row r="23" spans="1:9" x14ac:dyDescent="0.25">
      <c r="A23" s="138"/>
      <c r="I23" s="105"/>
    </row>
    <row r="24" spans="1:9" x14ac:dyDescent="0.25">
      <c r="A24" s="138"/>
      <c r="I24" s="105"/>
    </row>
    <row r="25" spans="1:9" x14ac:dyDescent="0.25">
      <c r="A25" s="138"/>
    </row>
    <row r="26" spans="1:9" x14ac:dyDescent="0.25">
      <c r="A26" s="138"/>
    </row>
    <row r="27" spans="1:9" x14ac:dyDescent="0.25">
      <c r="A27" s="138"/>
    </row>
    <row r="28" spans="1:9" x14ac:dyDescent="0.25">
      <c r="A28" s="138"/>
    </row>
    <row r="29" spans="1:9" ht="15.75" customHeight="1" x14ac:dyDescent="0.25"/>
    <row r="33" spans="1:1" x14ac:dyDescent="0.25">
      <c r="A33" s="138"/>
    </row>
    <row r="34" spans="1:1" x14ac:dyDescent="0.25">
      <c r="A34" s="138"/>
    </row>
    <row r="35" spans="1:1" ht="15" customHeight="1" x14ac:dyDescent="0.25">
      <c r="A35" s="138"/>
    </row>
    <row r="36" spans="1:1" x14ac:dyDescent="0.25">
      <c r="A36" s="138"/>
    </row>
    <row r="37" spans="1:1" x14ac:dyDescent="0.25">
      <c r="A37" s="138"/>
    </row>
    <row r="38" spans="1:1" x14ac:dyDescent="0.25">
      <c r="A38" s="138"/>
    </row>
    <row r="39" spans="1:1" x14ac:dyDescent="0.25">
      <c r="A39" s="138"/>
    </row>
    <row r="44" spans="1:1" x14ac:dyDescent="0.25">
      <c r="A44" s="138"/>
    </row>
    <row r="45" spans="1:1" x14ac:dyDescent="0.25">
      <c r="A45" s="138"/>
    </row>
    <row r="46" spans="1:1" x14ac:dyDescent="0.25">
      <c r="A46" s="138"/>
    </row>
    <row r="47" spans="1:1" x14ac:dyDescent="0.25">
      <c r="A47" s="138"/>
    </row>
    <row r="48" spans="1:1" x14ac:dyDescent="0.25">
      <c r="A48" s="138"/>
    </row>
    <row r="49" spans="1:1" x14ac:dyDescent="0.25">
      <c r="A49" s="138"/>
    </row>
    <row r="50" spans="1:1" x14ac:dyDescent="0.25">
      <c r="A50" s="138"/>
    </row>
    <row r="55" spans="1:1" x14ac:dyDescent="0.25">
      <c r="A55" s="138"/>
    </row>
    <row r="56" spans="1:1" x14ac:dyDescent="0.25">
      <c r="A56" s="138"/>
    </row>
    <row r="57" spans="1:1" x14ac:dyDescent="0.25">
      <c r="A57" s="138"/>
    </row>
    <row r="58" spans="1:1" x14ac:dyDescent="0.25">
      <c r="A58" s="138"/>
    </row>
    <row r="59" spans="1:1" ht="15" customHeight="1" x14ac:dyDescent="0.25">
      <c r="A59" s="138"/>
    </row>
    <row r="60" spans="1:1" x14ac:dyDescent="0.25">
      <c r="A60" s="138"/>
    </row>
    <row r="61" spans="1:1" x14ac:dyDescent="0.25">
      <c r="A61" s="138"/>
    </row>
    <row r="66" spans="1:1" ht="15" customHeight="1" x14ac:dyDescent="0.25">
      <c r="A66" s="138"/>
    </row>
    <row r="67" spans="1:1" x14ac:dyDescent="0.25">
      <c r="A67" s="138"/>
    </row>
    <row r="68" spans="1:1" x14ac:dyDescent="0.25">
      <c r="A68" s="138"/>
    </row>
    <row r="69" spans="1:1" x14ac:dyDescent="0.25">
      <c r="A69" s="138"/>
    </row>
    <row r="70" spans="1:1" x14ac:dyDescent="0.25">
      <c r="A70" s="138"/>
    </row>
    <row r="71" spans="1:1" x14ac:dyDescent="0.25">
      <c r="A71" s="138"/>
    </row>
    <row r="72" spans="1:1" x14ac:dyDescent="0.25">
      <c r="A72" s="138"/>
    </row>
    <row r="75" spans="1:1" ht="15" customHeight="1" x14ac:dyDescent="0.25"/>
    <row r="77" spans="1:1" x14ac:dyDescent="0.25">
      <c r="A77" s="138"/>
    </row>
    <row r="78" spans="1:1" x14ac:dyDescent="0.25">
      <c r="A78" s="138"/>
    </row>
    <row r="79" spans="1:1" x14ac:dyDescent="0.25">
      <c r="A79" s="138"/>
    </row>
    <row r="80" spans="1:1" x14ac:dyDescent="0.25">
      <c r="A80" s="138"/>
    </row>
    <row r="81" spans="1:1" x14ac:dyDescent="0.25">
      <c r="A81" s="138"/>
    </row>
    <row r="82" spans="1:1" x14ac:dyDescent="0.25">
      <c r="A82" s="138"/>
    </row>
    <row r="83" spans="1:1" x14ac:dyDescent="0.25">
      <c r="A83" s="138"/>
    </row>
    <row r="88" spans="1:1" x14ac:dyDescent="0.25">
      <c r="A88" s="138"/>
    </row>
    <row r="89" spans="1:1" x14ac:dyDescent="0.25">
      <c r="A89" s="138"/>
    </row>
    <row r="90" spans="1:1" x14ac:dyDescent="0.25">
      <c r="A90" s="138"/>
    </row>
    <row r="91" spans="1:1" x14ac:dyDescent="0.25">
      <c r="A91" s="138"/>
    </row>
    <row r="92" spans="1:1" x14ac:dyDescent="0.25">
      <c r="A92" s="138"/>
    </row>
    <row r="93" spans="1:1" x14ac:dyDescent="0.25">
      <c r="A93" s="138"/>
    </row>
    <row r="94" spans="1:1" x14ac:dyDescent="0.25">
      <c r="A94" s="138"/>
    </row>
    <row r="98" spans="1:1" x14ac:dyDescent="0.25">
      <c r="A98" s="138"/>
    </row>
    <row r="99" spans="1:1" x14ac:dyDescent="0.25">
      <c r="A99" s="138"/>
    </row>
    <row r="100" spans="1:1" x14ac:dyDescent="0.25">
      <c r="A100" s="138"/>
    </row>
    <row r="101" spans="1:1" x14ac:dyDescent="0.25">
      <c r="A101" s="138"/>
    </row>
    <row r="102" spans="1:1" x14ac:dyDescent="0.25">
      <c r="A102" s="138"/>
    </row>
    <row r="103" spans="1:1" x14ac:dyDescent="0.25">
      <c r="A103" s="138"/>
    </row>
    <row r="104" spans="1:1" x14ac:dyDescent="0.25">
      <c r="A104" s="138"/>
    </row>
    <row r="109" spans="1:1" x14ac:dyDescent="0.25">
      <c r="A109" s="138"/>
    </row>
    <row r="110" spans="1:1" x14ac:dyDescent="0.25">
      <c r="A110" s="138"/>
    </row>
    <row r="111" spans="1:1" x14ac:dyDescent="0.25">
      <c r="A111" s="138"/>
    </row>
    <row r="112" spans="1:1" x14ac:dyDescent="0.25">
      <c r="A112" s="138"/>
    </row>
    <row r="113" spans="1:1" x14ac:dyDescent="0.25">
      <c r="A113" s="138"/>
    </row>
    <row r="114" spans="1:1" x14ac:dyDescent="0.25">
      <c r="A114" s="138"/>
    </row>
    <row r="115" spans="1:1" x14ac:dyDescent="0.25">
      <c r="A115" s="138"/>
    </row>
    <row r="120" spans="1:1" x14ac:dyDescent="0.25">
      <c r="A120" s="138"/>
    </row>
    <row r="121" spans="1:1" x14ac:dyDescent="0.25">
      <c r="A121" s="138"/>
    </row>
    <row r="122" spans="1:1" x14ac:dyDescent="0.25">
      <c r="A122" s="138"/>
    </row>
    <row r="123" spans="1:1" x14ac:dyDescent="0.25">
      <c r="A123" s="138"/>
    </row>
    <row r="124" spans="1:1" x14ac:dyDescent="0.25">
      <c r="A124" s="138"/>
    </row>
    <row r="125" spans="1:1" x14ac:dyDescent="0.25">
      <c r="A125" s="138"/>
    </row>
    <row r="126" spans="1:1" x14ac:dyDescent="0.25">
      <c r="A126" s="138"/>
    </row>
    <row r="131" spans="1:1" x14ac:dyDescent="0.25">
      <c r="A131" s="138"/>
    </row>
    <row r="132" spans="1:1" x14ac:dyDescent="0.25">
      <c r="A132" s="138"/>
    </row>
    <row r="133" spans="1:1" x14ac:dyDescent="0.25">
      <c r="A133" s="138"/>
    </row>
    <row r="134" spans="1:1" x14ac:dyDescent="0.25">
      <c r="A134" s="138"/>
    </row>
    <row r="135" spans="1:1" x14ac:dyDescent="0.25">
      <c r="A135" s="138"/>
    </row>
    <row r="136" spans="1:1" x14ac:dyDescent="0.25">
      <c r="A136" s="138"/>
    </row>
    <row r="137" spans="1:1" x14ac:dyDescent="0.25">
      <c r="A137" s="138"/>
    </row>
    <row r="142" spans="1:1" x14ac:dyDescent="0.25">
      <c r="A142" s="138"/>
    </row>
    <row r="143" spans="1:1" x14ac:dyDescent="0.25">
      <c r="A143" s="138"/>
    </row>
    <row r="144" spans="1:1" x14ac:dyDescent="0.25">
      <c r="A144" s="138"/>
    </row>
    <row r="145" spans="1:1" x14ac:dyDescent="0.25">
      <c r="A145" s="138"/>
    </row>
    <row r="146" spans="1:1" x14ac:dyDescent="0.25">
      <c r="A146" s="138"/>
    </row>
    <row r="147" spans="1:1" x14ac:dyDescent="0.25">
      <c r="A147" s="138"/>
    </row>
    <row r="148" spans="1:1" x14ac:dyDescent="0.25">
      <c r="A148" s="138"/>
    </row>
    <row r="153" spans="1:1" x14ac:dyDescent="0.25">
      <c r="A153" s="138"/>
    </row>
    <row r="154" spans="1:1" x14ac:dyDescent="0.25">
      <c r="A154" s="138"/>
    </row>
    <row r="155" spans="1:1" x14ac:dyDescent="0.25">
      <c r="A155" s="138"/>
    </row>
    <row r="156" spans="1:1" x14ac:dyDescent="0.25">
      <c r="A156" s="138"/>
    </row>
    <row r="157" spans="1:1" x14ac:dyDescent="0.25">
      <c r="A157" s="138"/>
    </row>
    <row r="158" spans="1:1" x14ac:dyDescent="0.25">
      <c r="A158" s="138"/>
    </row>
    <row r="159" spans="1:1" x14ac:dyDescent="0.25">
      <c r="A159" s="138"/>
    </row>
    <row r="164" spans="1:1" x14ac:dyDescent="0.25">
      <c r="A164" s="138"/>
    </row>
    <row r="165" spans="1:1" x14ac:dyDescent="0.25">
      <c r="A165" s="138"/>
    </row>
    <row r="166" spans="1:1" x14ac:dyDescent="0.25">
      <c r="A166" s="138"/>
    </row>
    <row r="167" spans="1:1" x14ac:dyDescent="0.25">
      <c r="A167" s="138"/>
    </row>
    <row r="168" spans="1:1" x14ac:dyDescent="0.25">
      <c r="A168" s="138"/>
    </row>
    <row r="169" spans="1:1" x14ac:dyDescent="0.25">
      <c r="A169" s="138"/>
    </row>
    <row r="170" spans="1:1" x14ac:dyDescent="0.25">
      <c r="A170" s="138"/>
    </row>
    <row r="175" spans="1:1" x14ac:dyDescent="0.25">
      <c r="A175" s="138"/>
    </row>
    <row r="176" spans="1:1" x14ac:dyDescent="0.25">
      <c r="A176" s="138"/>
    </row>
    <row r="177" spans="1:1" x14ac:dyDescent="0.25">
      <c r="A177" s="138"/>
    </row>
    <row r="178" spans="1:1" x14ac:dyDescent="0.25">
      <c r="A178" s="138"/>
    </row>
    <row r="179" spans="1:1" x14ac:dyDescent="0.25">
      <c r="A179" s="138"/>
    </row>
    <row r="180" spans="1:1" x14ac:dyDescent="0.25">
      <c r="A180" s="138"/>
    </row>
    <row r="181" spans="1:1" x14ac:dyDescent="0.25">
      <c r="A181" s="138"/>
    </row>
    <row r="186" spans="1:1" x14ac:dyDescent="0.25">
      <c r="A186" s="138"/>
    </row>
    <row r="187" spans="1:1" x14ac:dyDescent="0.25">
      <c r="A187" s="138"/>
    </row>
    <row r="188" spans="1:1" x14ac:dyDescent="0.25">
      <c r="A188" s="138"/>
    </row>
    <row r="189" spans="1:1" x14ac:dyDescent="0.25">
      <c r="A189" s="138"/>
    </row>
    <row r="190" spans="1:1" x14ac:dyDescent="0.25">
      <c r="A190" s="138"/>
    </row>
    <row r="191" spans="1:1" x14ac:dyDescent="0.25">
      <c r="A191" s="138"/>
    </row>
    <row r="192" spans="1:1" x14ac:dyDescent="0.25">
      <c r="A192" s="138"/>
    </row>
    <row r="197" spans="1:1" x14ac:dyDescent="0.25">
      <c r="A197" s="138"/>
    </row>
    <row r="198" spans="1:1" x14ac:dyDescent="0.25">
      <c r="A198" s="138"/>
    </row>
    <row r="199" spans="1:1" x14ac:dyDescent="0.25">
      <c r="A199" s="138"/>
    </row>
    <row r="200" spans="1:1" x14ac:dyDescent="0.25">
      <c r="A200" s="138"/>
    </row>
    <row r="201" spans="1:1" x14ac:dyDescent="0.25">
      <c r="A201" s="138"/>
    </row>
    <row r="202" spans="1:1" x14ac:dyDescent="0.25">
      <c r="A202" s="138"/>
    </row>
    <row r="203" spans="1:1" x14ac:dyDescent="0.25">
      <c r="A203" s="138"/>
    </row>
    <row r="208" spans="1:1" x14ac:dyDescent="0.25">
      <c r="A208" s="138"/>
    </row>
    <row r="209" spans="1:1" x14ac:dyDescent="0.25">
      <c r="A209" s="138"/>
    </row>
    <row r="210" spans="1:1" x14ac:dyDescent="0.25">
      <c r="A210" s="138"/>
    </row>
    <row r="211" spans="1:1" x14ac:dyDescent="0.25">
      <c r="A211" s="138"/>
    </row>
    <row r="212" spans="1:1" x14ac:dyDescent="0.25">
      <c r="A212" s="138"/>
    </row>
    <row r="213" spans="1:1" x14ac:dyDescent="0.25">
      <c r="A213" s="138"/>
    </row>
    <row r="214" spans="1:1" x14ac:dyDescent="0.25">
      <c r="A214" s="138"/>
    </row>
    <row r="219" spans="1:1" x14ac:dyDescent="0.25">
      <c r="A219" s="138"/>
    </row>
    <row r="220" spans="1:1" x14ac:dyDescent="0.25">
      <c r="A220" s="138"/>
    </row>
    <row r="221" spans="1:1" x14ac:dyDescent="0.25">
      <c r="A221" s="138"/>
    </row>
    <row r="222" spans="1:1" x14ac:dyDescent="0.25">
      <c r="A222" s="138"/>
    </row>
    <row r="223" spans="1:1" x14ac:dyDescent="0.25">
      <c r="A223" s="138"/>
    </row>
    <row r="224" spans="1:1" x14ac:dyDescent="0.25">
      <c r="A224" s="138"/>
    </row>
    <row r="225" spans="1:1" x14ac:dyDescent="0.25">
      <c r="A225" s="138"/>
    </row>
    <row r="230" spans="1:1" x14ac:dyDescent="0.25">
      <c r="A230" s="138"/>
    </row>
    <row r="231" spans="1:1" x14ac:dyDescent="0.25">
      <c r="A231" s="138"/>
    </row>
    <row r="232" spans="1:1" x14ac:dyDescent="0.25">
      <c r="A232" s="138"/>
    </row>
    <row r="233" spans="1:1" x14ac:dyDescent="0.25">
      <c r="A233" s="138"/>
    </row>
    <row r="234" spans="1:1" x14ac:dyDescent="0.25">
      <c r="A234" s="138"/>
    </row>
    <row r="235" spans="1:1" x14ac:dyDescent="0.25">
      <c r="A235" s="138"/>
    </row>
    <row r="236" spans="1:1" x14ac:dyDescent="0.25">
      <c r="A236" s="138"/>
    </row>
    <row r="241" spans="1:1" x14ac:dyDescent="0.25">
      <c r="A241" s="138"/>
    </row>
    <row r="242" spans="1:1" x14ac:dyDescent="0.25">
      <c r="A242" s="138"/>
    </row>
    <row r="243" spans="1:1" x14ac:dyDescent="0.25">
      <c r="A243" s="138"/>
    </row>
    <row r="244" spans="1:1" x14ac:dyDescent="0.25">
      <c r="A244" s="138"/>
    </row>
    <row r="245" spans="1:1" x14ac:dyDescent="0.25">
      <c r="A245" s="138"/>
    </row>
    <row r="246" spans="1:1" x14ac:dyDescent="0.25">
      <c r="A246" s="138"/>
    </row>
    <row r="247" spans="1:1" x14ac:dyDescent="0.25">
      <c r="A247" s="138"/>
    </row>
    <row r="252" spans="1:1" x14ac:dyDescent="0.25">
      <c r="A252" s="138"/>
    </row>
    <row r="253" spans="1:1" x14ac:dyDescent="0.25">
      <c r="A253" s="138"/>
    </row>
    <row r="254" spans="1:1" x14ac:dyDescent="0.25">
      <c r="A254" s="138"/>
    </row>
    <row r="255" spans="1:1" x14ac:dyDescent="0.25">
      <c r="A255" s="138"/>
    </row>
    <row r="256" spans="1:1" x14ac:dyDescent="0.25">
      <c r="A256" s="138"/>
    </row>
    <row r="257" spans="1:1" x14ac:dyDescent="0.25">
      <c r="A257" s="138"/>
    </row>
    <row r="258" spans="1:1" x14ac:dyDescent="0.25">
      <c r="A258" s="138"/>
    </row>
    <row r="263" spans="1:1" x14ac:dyDescent="0.25">
      <c r="A263" s="138"/>
    </row>
    <row r="264" spans="1:1" x14ac:dyDescent="0.25">
      <c r="A264" s="138"/>
    </row>
    <row r="265" spans="1:1" x14ac:dyDescent="0.25">
      <c r="A265" s="138"/>
    </row>
    <row r="266" spans="1:1" x14ac:dyDescent="0.25">
      <c r="A266" s="138"/>
    </row>
    <row r="267" spans="1:1" x14ac:dyDescent="0.25">
      <c r="A267" s="138"/>
    </row>
    <row r="268" spans="1:1" x14ac:dyDescent="0.25">
      <c r="A268" s="138"/>
    </row>
    <row r="269" spans="1:1" x14ac:dyDescent="0.25">
      <c r="A269" s="138"/>
    </row>
    <row r="274" spans="1:1" x14ac:dyDescent="0.25">
      <c r="A274" s="138"/>
    </row>
    <row r="275" spans="1:1" x14ac:dyDescent="0.25">
      <c r="A275" s="138"/>
    </row>
    <row r="276" spans="1:1" x14ac:dyDescent="0.25">
      <c r="A276" s="138"/>
    </row>
    <row r="277" spans="1:1" x14ac:dyDescent="0.25">
      <c r="A277" s="138"/>
    </row>
    <row r="278" spans="1:1" x14ac:dyDescent="0.25">
      <c r="A278" s="138"/>
    </row>
    <row r="279" spans="1:1" x14ac:dyDescent="0.25">
      <c r="A279" s="138"/>
    </row>
    <row r="280" spans="1:1" x14ac:dyDescent="0.25">
      <c r="A280" s="138"/>
    </row>
    <row r="285" spans="1:1" x14ac:dyDescent="0.25">
      <c r="A285" s="138"/>
    </row>
    <row r="286" spans="1:1" x14ac:dyDescent="0.25">
      <c r="A286" s="138"/>
    </row>
    <row r="287" spans="1:1" x14ac:dyDescent="0.25">
      <c r="A287" s="138"/>
    </row>
    <row r="288" spans="1:1" x14ac:dyDescent="0.25">
      <c r="A288" s="138"/>
    </row>
    <row r="289" spans="1:1" x14ac:dyDescent="0.25">
      <c r="A289" s="138"/>
    </row>
    <row r="290" spans="1:1" x14ac:dyDescent="0.25">
      <c r="A290" s="138"/>
    </row>
    <row r="291" spans="1:1" x14ac:dyDescent="0.25">
      <c r="A291" s="138"/>
    </row>
    <row r="296" spans="1:1" x14ac:dyDescent="0.25">
      <c r="A296" s="138"/>
    </row>
    <row r="297" spans="1:1" x14ac:dyDescent="0.25">
      <c r="A297" s="138"/>
    </row>
    <row r="298" spans="1:1" x14ac:dyDescent="0.25">
      <c r="A298" s="138"/>
    </row>
    <row r="299" spans="1:1" x14ac:dyDescent="0.25">
      <c r="A299" s="138"/>
    </row>
    <row r="300" spans="1:1" x14ac:dyDescent="0.25">
      <c r="A300" s="138"/>
    </row>
    <row r="301" spans="1:1" x14ac:dyDescent="0.25">
      <c r="A301" s="138"/>
    </row>
    <row r="302" spans="1:1" x14ac:dyDescent="0.25">
      <c r="A302" s="138"/>
    </row>
    <row r="307" spans="1:1" x14ac:dyDescent="0.25">
      <c r="A307" s="138"/>
    </row>
    <row r="308" spans="1:1" x14ac:dyDescent="0.25">
      <c r="A308" s="138"/>
    </row>
    <row r="309" spans="1:1" x14ac:dyDescent="0.25">
      <c r="A309" s="138"/>
    </row>
    <row r="310" spans="1:1" x14ac:dyDescent="0.25">
      <c r="A310" s="138"/>
    </row>
    <row r="311" spans="1:1" x14ac:dyDescent="0.25">
      <c r="A311" s="138"/>
    </row>
    <row r="312" spans="1:1" x14ac:dyDescent="0.25">
      <c r="A312" s="138"/>
    </row>
    <row r="313" spans="1:1" x14ac:dyDescent="0.25">
      <c r="A313" s="138"/>
    </row>
    <row r="318" spans="1:1" x14ac:dyDescent="0.25">
      <c r="A318" s="138"/>
    </row>
    <row r="319" spans="1:1" x14ac:dyDescent="0.25">
      <c r="A319" s="138"/>
    </row>
    <row r="320" spans="1:1" x14ac:dyDescent="0.25">
      <c r="A320" s="138"/>
    </row>
    <row r="321" spans="1:1" x14ac:dyDescent="0.25">
      <c r="A321" s="138"/>
    </row>
    <row r="322" spans="1:1" x14ac:dyDescent="0.25">
      <c r="A322" s="138"/>
    </row>
    <row r="323" spans="1:1" x14ac:dyDescent="0.25">
      <c r="A323" s="138"/>
    </row>
    <row r="324" spans="1:1" x14ac:dyDescent="0.25">
      <c r="A324" s="138"/>
    </row>
  </sheetData>
  <sheetProtection algorithmName="SHA-512" hashValue="yKaK9/mGf2YQLOV8Rfjd4BA9POymyiFGNKCEcQohkW5Rkv2/YKYhztUKG07kRuWyjIYUXo40Rvm+KXXM9OgMWg==" saltValue="ssCJG9U0k32UCml3RfgSqg==" spinCount="100000" sheet="1" objects="1" scenarios="1"/>
  <mergeCells count="1">
    <mergeCell ref="A8:C8"/>
  </mergeCell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OGQ1NzYwZS02MzhhLTQ3ZTgtOWUyZS0xMjI2YzJjYjI2OGQiIG9yaWdpbj0idXNlclNlbGVjdGVkIj48ZWxlbWVudCB1aWQ9IjQyODM0YmZiLTFlYzEtNGJlYi1iZDY0LWViODNmYjNjYjNmMyIgdmFsdWU9IiIgeG1sbnM9Imh0dHA6Ly93d3cuYm9sZG9uamFtZXMuY29tLzIwMDgvMDEvc2llL2ludGVybmFsL2xhYmVsIiAvPjwvc2lzbD48VXNlck5hbWU+TEVJRE9TLUNPUlBcbmdvdm48L1VzZXJOYW1lPjxEYXRlVGltZT42LzE5LzIwMTkgNjowMTo1MSBQTTwvRGF0ZVRpbWU+PExhYmVsU3RyaW5nPlVucmVzdHJpY3RlZD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c8d5760e-638a-47e8-9e2e-1226c2cb268d" origin="userSelected">
  <element uid="42834bfb-1ec1-4beb-bd64-eb83fb3cb3f3" value=""/>
</sisl>
</file>

<file path=customXml/itemProps1.xml><?xml version="1.0" encoding="utf-8"?>
<ds:datastoreItem xmlns:ds="http://schemas.openxmlformats.org/officeDocument/2006/customXml" ds:itemID="{6B1F9356-A3E6-4ABF-9952-AAA1E0C4747B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E484CF27-9F14-4331-BC0E-4779C1BEA42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16</vt:i4>
      </vt:variant>
    </vt:vector>
  </HeadingPairs>
  <TitlesOfParts>
    <vt:vector size="19" baseType="lpstr">
      <vt:lpstr>Residential-size</vt:lpstr>
      <vt:lpstr>Commercial-size</vt:lpstr>
      <vt:lpstr>Lookup</vt:lpstr>
      <vt:lpstr>BTUtokWh</vt:lpstr>
      <vt:lpstr>C_p</vt:lpstr>
      <vt:lpstr>CF</vt:lpstr>
      <vt:lpstr>EFLH</vt:lpstr>
      <vt:lpstr>FacilityType</vt:lpstr>
      <vt:lpstr>HWPerSqFt</vt:lpstr>
      <vt:lpstr>MissingValues</vt:lpstr>
      <vt:lpstr>Quantity</vt:lpstr>
      <vt:lpstr>rho</vt:lpstr>
      <vt:lpstr>SqFt</vt:lpstr>
      <vt:lpstr>T_Out</vt:lpstr>
      <vt:lpstr>UEF_BL</vt:lpstr>
      <vt:lpstr>UEF_EE</vt:lpstr>
      <vt:lpstr>Volume_BaseERWH</vt:lpstr>
      <vt:lpstr>WaterTemp_Inlet</vt:lpstr>
      <vt:lpstr>WaterTemp_Outlet</vt:lpstr>
    </vt:vector>
  </TitlesOfParts>
  <Company>SAIC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wongcal</dc:creator>
  <cp:lastModifiedBy>Ngo, Vinh-Phong N. [US-US]</cp:lastModifiedBy>
  <cp:lastPrinted>2019-06-24T18:15:03Z</cp:lastPrinted>
  <dcterms:created xsi:type="dcterms:W3CDTF">2009-11-18T18:04:29Z</dcterms:created>
  <dcterms:modified xsi:type="dcterms:W3CDTF">2025-06-30T21:02:19Z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a0748da0-cf90-4b93-a9cf-fea72ad1610c</vt:lpwstr>
  </property>
  <property fmtid="{D5CDD505-2E9C-101B-9397-08002B2CF9AE}" pid="3" name="bjSaver">
    <vt:lpwstr>G3ikdu48ttcEijIqm8mmgifimqM5dooD</vt:lpwstr>
  </property>
  <property fmtid="{D5CDD505-2E9C-101B-9397-08002B2CF9AE}" pid="4" name="bjDocumentSecurityLabel">
    <vt:lpwstr>Unrestricted</vt:lpwstr>
  </property>
  <property fmtid="{D5CDD505-2E9C-101B-9397-08002B2CF9AE}" pid="5" name="bjLabelHistoryID">
    <vt:lpwstr>{6B1F9356-A3E6-4ABF-9952-AAA1E0C4747B}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policy="c8d5760e-638a-47e8-9e2e-1226c2cb268d" origin="userSelected" xmlns="http://www.boldonj</vt:lpwstr>
  </property>
  <property fmtid="{D5CDD505-2E9C-101B-9397-08002B2CF9AE}" pid="7" name="bjDocumentLabelXML-0">
    <vt:lpwstr>ames.com/2008/01/sie/internal/label"&gt;&lt;element uid="42834bfb-1ec1-4beb-bd64-eb83fb3cb3f3" value="" /&gt;&lt;/sisl&gt;</vt:lpwstr>
  </property>
  <property fmtid="{D5CDD505-2E9C-101B-9397-08002B2CF9AE}" pid="8" name="MSIP_Label_c968a81f-7ed4-4faa-9408-9652e001dd96_Enabled">
    <vt:lpwstr>true</vt:lpwstr>
  </property>
  <property fmtid="{D5CDD505-2E9C-101B-9397-08002B2CF9AE}" pid="9" name="MSIP_Label_c968a81f-7ed4-4faa-9408-9652e001dd96_SetDate">
    <vt:lpwstr>2022-06-21T03:09:00Z</vt:lpwstr>
  </property>
  <property fmtid="{D5CDD505-2E9C-101B-9397-08002B2CF9AE}" pid="10" name="MSIP_Label_c968a81f-7ed4-4faa-9408-9652e001dd96_Method">
    <vt:lpwstr>Standard</vt:lpwstr>
  </property>
  <property fmtid="{D5CDD505-2E9C-101B-9397-08002B2CF9AE}" pid="11" name="MSIP_Label_c968a81f-7ed4-4faa-9408-9652e001dd96_Name">
    <vt:lpwstr>Unrestricted</vt:lpwstr>
  </property>
  <property fmtid="{D5CDD505-2E9C-101B-9397-08002B2CF9AE}" pid="12" name="MSIP_Label_c968a81f-7ed4-4faa-9408-9652e001dd96_SiteId">
    <vt:lpwstr>b64da4ac-e800-4cfc-8931-e607f720a1b8</vt:lpwstr>
  </property>
  <property fmtid="{D5CDD505-2E9C-101B-9397-08002B2CF9AE}" pid="13" name="MSIP_Label_c968a81f-7ed4-4faa-9408-9652e001dd96_ActionId">
    <vt:lpwstr>3a0bda17-fa9f-4a87-b87a-4c4d655b5636</vt:lpwstr>
  </property>
  <property fmtid="{D5CDD505-2E9C-101B-9397-08002B2CF9AE}" pid="14" name="MSIP_Label_c968a81f-7ed4-4faa-9408-9652e001dd96_ContentBits">
    <vt:lpwstr>0</vt:lpwstr>
  </property>
</Properties>
</file>